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25080" windowHeight="11520" activeTab="0"/>
  </bookViews>
  <sheets>
    <sheet name="ANNUAL DATA OUTCOMES" sheetId="1" r:id="rId1"/>
    <sheet name="Guideline - Appendix 1 Outcomes" sheetId="2" r:id="rId2"/>
    <sheet name="Sheet1" sheetId="3" r:id="rId3"/>
  </sheets>
  <definedNames>
    <definedName name="_xlnm.Print_Titles" localSheetId="0">'ANNUAL DATA OUTCOMES'!$1:$3</definedName>
    <definedName name="_xlnm.Print_Titles" localSheetId="1">'Guideline - Appendix 1 Outcomes'!$1:$2</definedName>
  </definedNames>
  <calcPr fullCalcOnLoad="1"/>
</workbook>
</file>

<file path=xl/comments1.xml><?xml version="1.0" encoding="utf-8"?>
<comments xmlns="http://schemas.openxmlformats.org/spreadsheetml/2006/main">
  <authors>
    <author>alane</author>
    <author>bmhodges</author>
  </authors>
  <commentList>
    <comment ref="F1" authorId="0">
      <text>
        <r>
          <rPr>
            <b/>
            <sz val="9"/>
            <rFont val="Tahoma"/>
            <family val="2"/>
          </rPr>
          <t xml:space="preserve">alane:
</t>
        </r>
        <r>
          <rPr>
            <sz val="9"/>
            <rFont val="Tahoma"/>
            <family val="2"/>
          </rPr>
          <t>Overall site score comprises:
30% standardised water quality score
40% Macroinvertebrate / Stream Quality Signal Score
30% Riparian Assessment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A:  </t>
        </r>
        <r>
          <rPr>
            <sz val="9"/>
            <rFont val="Calibri"/>
            <family val="2"/>
          </rPr>
          <t>&gt;</t>
        </r>
        <r>
          <rPr>
            <sz val="9"/>
            <rFont val="Tahoma"/>
            <family val="2"/>
          </rPr>
          <t xml:space="preserve"> 85
B:  </t>
        </r>
        <r>
          <rPr>
            <sz val="9"/>
            <rFont val="Calibri"/>
            <family val="2"/>
          </rPr>
          <t>&gt;</t>
        </r>
        <r>
          <rPr>
            <sz val="9"/>
            <rFont val="Tahoma"/>
            <family val="2"/>
          </rPr>
          <t xml:space="preserve"> 70 to 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85
C:  </t>
        </r>
        <r>
          <rPr>
            <sz val="9"/>
            <rFont val="Calibri"/>
            <family val="2"/>
          </rPr>
          <t>&gt;</t>
        </r>
        <r>
          <rPr>
            <sz val="9"/>
            <rFont val="Tahoma"/>
            <family val="2"/>
          </rPr>
          <t xml:space="preserve"> 55 to 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70
D:  &gt;35 to 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55
E:  &gt;15 to 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35
F:      0 to </t>
        </r>
        <r>
          <rPr>
            <sz val="9"/>
            <rFont val="Calibri"/>
            <family val="2"/>
          </rPr>
          <t>≤</t>
        </r>
        <r>
          <rPr>
            <sz val="9"/>
            <rFont val="Tahoma"/>
            <family val="2"/>
          </rPr>
          <t xml:space="preserve"> 15</t>
        </r>
      </text>
    </comment>
    <comment ref="O27" authorId="1">
      <text>
        <r>
          <rPr>
            <b/>
            <sz val="8"/>
            <rFont val="Tahoma"/>
            <family val="2"/>
          </rPr>
          <t>bmhodges:</t>
        </r>
        <r>
          <rPr>
            <sz val="8"/>
            <rFont val="Tahoma"/>
            <family val="2"/>
          </rPr>
          <t xml:space="preserve">
meter error</t>
        </r>
      </text>
    </comment>
    <comment ref="M33" authorId="0">
      <text>
        <r>
          <rPr>
            <b/>
            <sz val="9"/>
            <rFont val="Tahoma"/>
            <family val="2"/>
          </rPr>
          <t>alane:</t>
        </r>
        <r>
          <rPr>
            <sz val="9"/>
            <rFont val="Tahoma"/>
            <family val="2"/>
          </rPr>
          <t xml:space="preserve">
Worst Case Scenario: 
</t>
        </r>
        <r>
          <rPr>
            <sz val="9"/>
            <rFont val="Calibri"/>
            <family val="2"/>
          </rPr>
          <t>&gt;</t>
        </r>
        <r>
          <rPr>
            <sz val="6.3"/>
            <rFont val="Tahoma"/>
            <family val="2"/>
          </rPr>
          <t xml:space="preserve"> 1000</t>
        </r>
      </text>
    </comment>
    <comment ref="A49" authorId="0">
      <text>
        <r>
          <rPr>
            <b/>
            <sz val="9"/>
            <rFont val="Tahoma"/>
            <family val="2"/>
          </rPr>
          <t>alane:</t>
        </r>
        <r>
          <rPr>
            <sz val="9"/>
            <rFont val="Tahoma"/>
            <family val="2"/>
          </rPr>
          <t xml:space="preserve">
New site: 2014</t>
        </r>
      </text>
    </comment>
    <comment ref="P63" authorId="0">
      <text>
        <r>
          <rPr>
            <b/>
            <sz val="9"/>
            <rFont val="Tahoma"/>
            <family val="2"/>
          </rPr>
          <t>alane:</t>
        </r>
        <r>
          <rPr>
            <sz val="9"/>
            <rFont val="Tahoma"/>
            <family val="2"/>
          </rPr>
          <t xml:space="preserve">
Water Temp: 19.7</t>
        </r>
        <r>
          <rPr>
            <sz val="9"/>
            <rFont val="Calibri"/>
            <family val="2"/>
          </rPr>
          <t>° degrees celsius
DO: 2.1mg/L</t>
        </r>
      </text>
    </comment>
    <comment ref="AB75" authorId="0">
      <text>
        <r>
          <rPr>
            <b/>
            <sz val="9"/>
            <rFont val="Tahoma"/>
            <family val="2"/>
          </rPr>
          <t>alane:</t>
        </r>
        <r>
          <rPr>
            <sz val="9"/>
            <rFont val="Tahoma"/>
            <family val="2"/>
          </rPr>
          <t xml:space="preserve">
Riparian score lower due to increase in moss (25% to 30%)</t>
        </r>
      </text>
    </comment>
    <comment ref="AC75" authorId="0">
      <text>
        <r>
          <rPr>
            <b/>
            <sz val="9"/>
            <rFont val="Tahoma"/>
            <family val="2"/>
          </rPr>
          <t>alane:</t>
        </r>
        <r>
          <rPr>
            <sz val="9"/>
            <rFont val="Tahoma"/>
            <family val="2"/>
          </rPr>
          <t xml:space="preserve">
Fair: </t>
        </r>
        <r>
          <rPr>
            <sz val="9"/>
            <rFont val="Calibri"/>
            <family val="2"/>
          </rPr>
          <t>&gt;25 and less than or equal to 50</t>
        </r>
      </text>
    </comment>
    <comment ref="R1" authorId="0">
      <text>
        <r>
          <rPr>
            <b/>
            <sz val="9"/>
            <rFont val="Tahoma"/>
            <family val="2"/>
          </rPr>
          <t>alane:</t>
        </r>
        <r>
          <rPr>
            <sz val="9"/>
            <rFont val="Tahoma"/>
            <family val="2"/>
          </rPr>
          <t xml:space="preserve">
2021: newly acquired YSI Pro DSS water quality meter utilises a pH and Oxidation Reduction Potential (ORP) sensor</t>
        </r>
      </text>
    </comment>
  </commentList>
</comments>
</file>

<file path=xl/sharedStrings.xml><?xml version="1.0" encoding="utf-8"?>
<sst xmlns="http://schemas.openxmlformats.org/spreadsheetml/2006/main" count="1021" uniqueCount="93">
  <si>
    <t>n/a</t>
  </si>
  <si>
    <t>low</t>
  </si>
  <si>
    <t>Poor</t>
  </si>
  <si>
    <t>Reconstructed Stream</t>
  </si>
  <si>
    <t>Fair</t>
  </si>
  <si>
    <t>Natural stream above weir</t>
  </si>
  <si>
    <t>high</t>
  </si>
  <si>
    <t>Good</t>
  </si>
  <si>
    <t>Degraded stream (natural 50m upstream, concrete channel 50m downstream)</t>
  </si>
  <si>
    <t>Modified Stream</t>
  </si>
  <si>
    <t>Natural Stream</t>
  </si>
  <si>
    <t>Degraded stream</t>
  </si>
  <si>
    <t>Slatey Creek</t>
  </si>
  <si>
    <t>Barnsley</t>
  </si>
  <si>
    <t>Winding Creek</t>
  </si>
  <si>
    <t>Cardiff South</t>
  </si>
  <si>
    <t>Charlestown</t>
  </si>
  <si>
    <t>Flaggy Creek</t>
  </si>
  <si>
    <t>Cocked Hat Creek</t>
  </si>
  <si>
    <t>Edgeworth</t>
  </si>
  <si>
    <t>Scrubby Creek</t>
  </si>
  <si>
    <t xml:space="preserve">Mount Hutton </t>
  </si>
  <si>
    <t>North Creek</t>
  </si>
  <si>
    <t>Warners Bay</t>
  </si>
  <si>
    <t>Cooranbong</t>
  </si>
  <si>
    <t>Jigadee Creek</t>
  </si>
  <si>
    <t>Stony Creek</t>
  </si>
  <si>
    <t>Suburb</t>
  </si>
  <si>
    <t>Water Temperature (°C)</t>
  </si>
  <si>
    <t>pH</t>
  </si>
  <si>
    <t>Year</t>
  </si>
  <si>
    <t>Site Condition</t>
  </si>
  <si>
    <t>Shading</t>
  </si>
  <si>
    <t>Trees ( &gt; 10m)</t>
  </si>
  <si>
    <t>Instream vegetation - algae</t>
  </si>
  <si>
    <t>Instream vegetation - moss</t>
  </si>
  <si>
    <t>Instream vegetation - macrophytes</t>
  </si>
  <si>
    <t>Native vegetation</t>
  </si>
  <si>
    <t>RIPARIAN ZONE COMPOSITION - ASSESSED SCORES</t>
  </si>
  <si>
    <t>A</t>
  </si>
  <si>
    <t>B</t>
  </si>
  <si>
    <t>Site No</t>
  </si>
  <si>
    <t>Trees &lt; 10m, shrubs and grasses</t>
  </si>
  <si>
    <t>Dissolved Oxygen (mg/Litre)</t>
  </si>
  <si>
    <t>Dissolved Oxygen (%)</t>
  </si>
  <si>
    <t>Stream Pollution Index (SPI)</t>
  </si>
  <si>
    <t>F</t>
  </si>
  <si>
    <t>D</t>
  </si>
  <si>
    <t>90-100</t>
  </si>
  <si>
    <t>Location Details</t>
  </si>
  <si>
    <t>Riparian Score</t>
  </si>
  <si>
    <t>Stream Pollution Index</t>
  </si>
  <si>
    <t>Water Quality Score</t>
  </si>
  <si>
    <t>SLATEY CREEK</t>
  </si>
  <si>
    <t>Off Northville Drive, Barnsley (downstream of Cherry's Bridge)</t>
  </si>
  <si>
    <t>WINDING CREEK</t>
  </si>
  <si>
    <t>End of Elizabeth Street, Cardiff South (upstream of concrete channel)</t>
  </si>
  <si>
    <t>FLAGGY CREEK</t>
  </si>
  <si>
    <t>Off Kaleen &amp; Wakal Streets, Charlestown (under footbridge)</t>
  </si>
  <si>
    <t>COCKED HAT CREEK</t>
  </si>
  <si>
    <t>SCRUBBY CREEK</t>
  </si>
  <si>
    <t>Off Balemo Crescent, Mount Hutton</t>
  </si>
  <si>
    <t>NORTH CREEK</t>
  </si>
  <si>
    <t>Off Martin Street, Warners Bay (above the weir)</t>
  </si>
  <si>
    <t>JIGADEE CREEK</t>
  </si>
  <si>
    <t>FRESHWATER CATCHMENT ECOSYSTEM HEALTH SCORECARD DATA</t>
  </si>
  <si>
    <t>C</t>
  </si>
  <si>
    <t>Riparian Assessment Outcome
  (Excellent - Good - Fair - Poor)</t>
  </si>
  <si>
    <t xml:space="preserve">Fair </t>
  </si>
  <si>
    <r>
      <t>Conductivity (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S/cm)</t>
    </r>
  </si>
  <si>
    <t>E</t>
  </si>
  <si>
    <t>Overall Site Grade</t>
  </si>
  <si>
    <t>Awaba</t>
  </si>
  <si>
    <t>off Olney Street, Awaba (behind Awaba Oval)</t>
  </si>
  <si>
    <t xml:space="preserve">Off Oakville Road, Edgeworth </t>
  </si>
  <si>
    <t xml:space="preserve">low </t>
  </si>
  <si>
    <t>New site 2014</t>
  </si>
  <si>
    <t>STONY CREEK</t>
  </si>
  <si>
    <t>Off Newport Road, Cooranbong (above the weir)</t>
  </si>
  <si>
    <r>
      <t>Available Phosphorous 
(PO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mg/L)</t>
    </r>
  </si>
  <si>
    <t>Site Number</t>
  </si>
  <si>
    <t>Creek/Catchment Name</t>
  </si>
  <si>
    <r>
      <t xml:space="preserve">Taxa Richness - Total Number of Macroinvertebrate Families </t>
    </r>
    <r>
      <rPr>
        <b/>
        <sz val="8"/>
        <rFont val="Arial"/>
        <family val="2"/>
      </rPr>
      <t>(does not include Microfauna: Ostrapoda, Cladocera and Copepoda)</t>
    </r>
  </si>
  <si>
    <r>
      <t xml:space="preserve">Taxa Richness 
</t>
    </r>
    <r>
      <rPr>
        <sz val="8"/>
        <rFont val="Arial"/>
        <family val="2"/>
      </rPr>
      <t>(Microfauna not included in Taxa Richness outcome)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(wetland:  0-14=low  /  &gt;14 high) 
(creek/stream 0-15=low  /  &gt;15 high)</t>
    </r>
  </si>
  <si>
    <t>Stream Quality Rating (SPI rating)</t>
  </si>
  <si>
    <t>Stream Quality Grade (A to D)</t>
  </si>
  <si>
    <t>Water Quality Grade (A to F)</t>
  </si>
  <si>
    <t>Score (out of 100)</t>
  </si>
  <si>
    <t>Riparian Assessment Grade
  (A - D)</t>
  </si>
  <si>
    <t>Turbidity (NTU/FNU)</t>
  </si>
  <si>
    <t>ORP (Oxidation Reduction Potential</t>
  </si>
  <si>
    <t>90,9</t>
  </si>
  <si>
    <t>1,13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</si>
</sst>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[$-409]h:mm:ss\ AM/PM"/>
    <numFmt numFmtId="174" formatCode="0.000000"/>
    <numFmt numFmtId="175" formatCode="[$-C09]dddd\,\ d\ mmmm\ yyyy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00;[Red]0.0000"/>
    <numFmt numFmtId="183" formatCode="0.00000;[Red]0.00000"/>
    <numFmt numFmtId="184" formatCode="0.000"/>
    <numFmt numFmtId="185" formatCode="0.000;[Red]0.000"/>
    <numFmt numFmtId="186" formatCode="0.0000000000000;[Red]0.0000000000000"/>
    <numFmt numFmtId="187" formatCode="0.00_ ;[Red]\-0.00\ 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.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Border="1" applyAlignment="1">
      <alignment horizontal="center"/>
    </xf>
    <xf numFmtId="0" fontId="8" fillId="0" borderId="16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Font="1" applyBorder="1" applyAlignment="1">
      <alignment horizontal="center" vertical="top"/>
    </xf>
    <xf numFmtId="17" fontId="0" fillId="0" borderId="0" xfId="0" applyNumberFormat="1" applyFont="1" applyAlignment="1">
      <alignment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57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0" borderId="14" xfId="0" applyNumberFormat="1" applyFont="1" applyFill="1" applyBorder="1" applyAlignment="1" applyProtection="1">
      <alignment horizontal="center" vertical="top" wrapText="1"/>
      <protection/>
    </xf>
    <xf numFmtId="0" fontId="56" fillId="0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wrapText="1"/>
    </xf>
    <xf numFmtId="0" fontId="56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3" borderId="10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0" borderId="10" xfId="0" applyNumberFormat="1" applyFont="1" applyFill="1" applyBorder="1" applyAlignment="1" applyProtection="1">
      <alignment horizontal="center" vertical="top" wrapText="1"/>
      <protection/>
    </xf>
    <xf numFmtId="0" fontId="2" fillId="5" borderId="10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5" fillId="0" borderId="16" xfId="0" applyNumberFormat="1" applyFont="1" applyFill="1" applyBorder="1" applyAlignment="1" applyProtection="1">
      <alignment vertical="top" wrapText="1"/>
      <protection/>
    </xf>
    <xf numFmtId="0" fontId="2" fillId="5" borderId="0" xfId="0" applyFont="1" applyFill="1" applyAlignment="1">
      <alignment horizontal="left"/>
    </xf>
    <xf numFmtId="0" fontId="58" fillId="33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textRotation="90"/>
    </xf>
    <xf numFmtId="0" fontId="0" fillId="10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 textRotation="90" wrapText="1"/>
    </xf>
    <xf numFmtId="0" fontId="2" fillId="4" borderId="11" xfId="0" applyFont="1" applyFill="1" applyBorder="1" applyAlignment="1">
      <alignment horizontal="center" textRotation="90" wrapText="1"/>
    </xf>
    <xf numFmtId="0" fontId="0" fillId="4" borderId="15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 textRotation="90" wrapText="1"/>
    </xf>
    <xf numFmtId="0" fontId="0" fillId="12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0" fillId="10" borderId="19" xfId="0" applyFont="1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2" fillId="12" borderId="10" xfId="0" applyFont="1" applyFill="1" applyBorder="1" applyAlignment="1">
      <alignment horizontal="center" textRotation="90"/>
    </xf>
    <xf numFmtId="0" fontId="2" fillId="13" borderId="10" xfId="0" applyFont="1" applyFill="1" applyBorder="1" applyAlignment="1">
      <alignment horizontal="center" textRotation="90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 textRotation="90" wrapText="1"/>
    </xf>
    <xf numFmtId="0" fontId="0" fillId="13" borderId="13" xfId="0" applyFont="1" applyFill="1" applyBorder="1" applyAlignment="1">
      <alignment horizontal="center" textRotation="90" wrapText="1"/>
    </xf>
    <xf numFmtId="0" fontId="0" fillId="13" borderId="15" xfId="0" applyFont="1" applyFill="1" applyBorder="1" applyAlignment="1">
      <alignment horizontal="center" textRotation="90" wrapText="1"/>
    </xf>
    <xf numFmtId="0" fontId="0" fillId="13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textRotation="90"/>
    </xf>
    <xf numFmtId="0" fontId="0" fillId="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2" fillId="5" borderId="11" xfId="0" applyFont="1" applyFill="1" applyBorder="1" applyAlignment="1">
      <alignment horizontal="center" textRotation="90" wrapText="1"/>
    </xf>
    <xf numFmtId="0" fontId="0" fillId="5" borderId="13" xfId="0" applyFont="1" applyFill="1" applyBorder="1" applyAlignment="1">
      <alignment horizontal="center" textRotation="90"/>
    </xf>
    <xf numFmtId="0" fontId="0" fillId="5" borderId="15" xfId="0" applyFont="1" applyFill="1" applyBorder="1" applyAlignment="1">
      <alignment horizontal="center" textRotation="90"/>
    </xf>
    <xf numFmtId="0" fontId="2" fillId="0" borderId="11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9" fontId="2" fillId="0" borderId="10" xfId="59" applyFont="1" applyFill="1" applyBorder="1" applyAlignment="1">
      <alignment horizontal="center" textRotation="90" wrapText="1"/>
    </xf>
    <xf numFmtId="9" fontId="2" fillId="0" borderId="10" xfId="59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  <xf numFmtId="0" fontId="0" fillId="0" borderId="15" xfId="0" applyFont="1" applyFill="1" applyBorder="1" applyAlignment="1">
      <alignment horizontal="center" textRotation="90"/>
    </xf>
    <xf numFmtId="0" fontId="2" fillId="35" borderId="18" xfId="0" applyNumberFormat="1" applyFont="1" applyFill="1" applyBorder="1" applyAlignment="1" applyProtection="1">
      <alignment horizontal="center" vertical="top" wrapText="1"/>
      <protection/>
    </xf>
    <xf numFmtId="0" fontId="2" fillId="35" borderId="19" xfId="0" applyNumberFormat="1" applyFont="1" applyFill="1" applyBorder="1" applyAlignment="1" applyProtection="1">
      <alignment horizontal="center" vertical="top" wrapText="1"/>
      <protection/>
    </xf>
    <xf numFmtId="0" fontId="2" fillId="35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9" xfId="0" applyFill="1" applyBorder="1" applyAlignment="1">
      <alignment horizontal="center" vertical="top"/>
    </xf>
    <xf numFmtId="0" fontId="0" fillId="35" borderId="14" xfId="0" applyFill="1" applyBorder="1" applyAlignment="1">
      <alignment horizontal="center" vertical="top"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0" fontId="2" fillId="35" borderId="20" xfId="0" applyNumberFormat="1" applyFont="1" applyFill="1" applyBorder="1" applyAlignment="1" applyProtection="1">
      <alignment horizontal="center" vertical="top" wrapText="1"/>
      <protection/>
    </xf>
    <xf numFmtId="2" fontId="0" fillId="0" borderId="10" xfId="0" applyNumberFormat="1" applyFont="1" applyFill="1" applyBorder="1" applyAlignment="1" applyProtection="1">
      <alignment horizontal="center" vertical="top"/>
      <protection/>
    </xf>
    <xf numFmtId="0" fontId="2" fillId="35" borderId="2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S47" sqref="S47"/>
    </sheetView>
  </sheetViews>
  <sheetFormatPr defaultColWidth="9.140625" defaultRowHeight="12.75"/>
  <cols>
    <col min="1" max="1" width="7.7109375" style="1" customWidth="1"/>
    <col min="2" max="2" width="20.7109375" style="1" customWidth="1"/>
    <col min="3" max="3" width="15.57421875" style="12" customWidth="1"/>
    <col min="4" max="4" width="9.8515625" style="12" customWidth="1"/>
    <col min="5" max="5" width="13.8515625" style="12" customWidth="1"/>
    <col min="6" max="6" width="10.140625" style="1" customWidth="1"/>
    <col min="7" max="16384" width="9.140625" style="1" customWidth="1"/>
  </cols>
  <sheetData>
    <row r="1" spans="1:30" ht="30.75" customHeight="1">
      <c r="A1" s="87" t="s">
        <v>80</v>
      </c>
      <c r="B1" s="90" t="s">
        <v>81</v>
      </c>
      <c r="C1" s="82" t="s">
        <v>27</v>
      </c>
      <c r="D1" s="92" t="s">
        <v>30</v>
      </c>
      <c r="E1" s="82" t="s">
        <v>31</v>
      </c>
      <c r="F1" s="84" t="s">
        <v>71</v>
      </c>
      <c r="G1" s="74" t="s">
        <v>82</v>
      </c>
      <c r="H1" s="76" t="s">
        <v>83</v>
      </c>
      <c r="I1" s="74" t="s">
        <v>45</v>
      </c>
      <c r="J1" s="74" t="s">
        <v>84</v>
      </c>
      <c r="K1" s="80" t="s">
        <v>85</v>
      </c>
      <c r="L1" s="73" t="s">
        <v>28</v>
      </c>
      <c r="M1" s="73" t="s">
        <v>69</v>
      </c>
      <c r="N1" s="73" t="s">
        <v>89</v>
      </c>
      <c r="O1" s="73" t="s">
        <v>43</v>
      </c>
      <c r="P1" s="73" t="s">
        <v>44</v>
      </c>
      <c r="Q1" s="73" t="s">
        <v>29</v>
      </c>
      <c r="R1" s="115" t="s">
        <v>90</v>
      </c>
      <c r="S1" s="65" t="s">
        <v>79</v>
      </c>
      <c r="T1" s="67" t="s">
        <v>86</v>
      </c>
      <c r="U1" s="69" t="s">
        <v>38</v>
      </c>
      <c r="V1" s="70"/>
      <c r="W1" s="70"/>
      <c r="X1" s="70"/>
      <c r="Y1" s="70"/>
      <c r="Z1" s="70"/>
      <c r="AA1" s="70"/>
      <c r="AB1" s="70"/>
      <c r="AC1" s="71"/>
      <c r="AD1" s="72"/>
    </row>
    <row r="2" spans="1:30" ht="379.5" customHeight="1">
      <c r="A2" s="88"/>
      <c r="B2" s="91"/>
      <c r="C2" s="83"/>
      <c r="D2" s="93"/>
      <c r="E2" s="83"/>
      <c r="F2" s="85"/>
      <c r="G2" s="75"/>
      <c r="H2" s="77"/>
      <c r="I2" s="79"/>
      <c r="J2" s="79"/>
      <c r="K2" s="81"/>
      <c r="L2" s="66"/>
      <c r="M2" s="66"/>
      <c r="N2" s="66"/>
      <c r="O2" s="66"/>
      <c r="P2" s="66"/>
      <c r="Q2" s="66"/>
      <c r="R2" s="116"/>
      <c r="S2" s="66"/>
      <c r="T2" s="68"/>
      <c r="U2" s="60" t="s">
        <v>32</v>
      </c>
      <c r="V2" s="60" t="s">
        <v>33</v>
      </c>
      <c r="W2" s="60" t="s">
        <v>42</v>
      </c>
      <c r="X2" s="60" t="s">
        <v>34</v>
      </c>
      <c r="Y2" s="60" t="s">
        <v>35</v>
      </c>
      <c r="Z2" s="60" t="s">
        <v>36</v>
      </c>
      <c r="AA2" s="60" t="s">
        <v>37</v>
      </c>
      <c r="AB2" s="60" t="s">
        <v>87</v>
      </c>
      <c r="AC2" s="62" t="s">
        <v>67</v>
      </c>
      <c r="AD2" s="63" t="s">
        <v>88</v>
      </c>
    </row>
    <row r="3" spans="1:30" ht="27" customHeight="1">
      <c r="A3" s="89"/>
      <c r="B3" s="91"/>
      <c r="C3" s="83"/>
      <c r="D3" s="94"/>
      <c r="E3" s="83"/>
      <c r="F3" s="86"/>
      <c r="G3" s="75"/>
      <c r="H3" s="78"/>
      <c r="I3" s="79"/>
      <c r="J3" s="79"/>
      <c r="K3" s="81"/>
      <c r="L3" s="66"/>
      <c r="M3" s="66"/>
      <c r="N3" s="66"/>
      <c r="O3" s="66"/>
      <c r="P3" s="66"/>
      <c r="Q3" s="66"/>
      <c r="R3" s="117"/>
      <c r="S3" s="66"/>
      <c r="T3" s="68"/>
      <c r="U3" s="61"/>
      <c r="V3" s="61"/>
      <c r="W3" s="61"/>
      <c r="X3" s="61"/>
      <c r="Y3" s="61"/>
      <c r="Z3" s="61"/>
      <c r="AA3" s="61"/>
      <c r="AB3" s="61"/>
      <c r="AC3" s="61"/>
      <c r="AD3" s="64"/>
    </row>
    <row r="4" spans="1:30" s="10" customFormat="1" ht="19.5" customHeight="1">
      <c r="A4" s="49" t="s">
        <v>65</v>
      </c>
      <c r="B4" s="50"/>
      <c r="C4" s="50"/>
      <c r="D4" s="50"/>
      <c r="E4" s="50"/>
      <c r="F4" s="58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s="10" customFormat="1" ht="24.75" customHeight="1">
      <c r="A5" s="3">
        <v>67</v>
      </c>
      <c r="B5" s="7" t="s">
        <v>22</v>
      </c>
      <c r="C5" s="5" t="s">
        <v>23</v>
      </c>
      <c r="D5" s="6">
        <v>2011</v>
      </c>
      <c r="E5" s="5" t="s">
        <v>9</v>
      </c>
      <c r="F5" s="55" t="s">
        <v>66</v>
      </c>
      <c r="G5" s="7">
        <v>6</v>
      </c>
      <c r="H5" s="7" t="s">
        <v>1</v>
      </c>
      <c r="I5" s="8">
        <v>4.08</v>
      </c>
      <c r="J5" s="7" t="s">
        <v>7</v>
      </c>
      <c r="K5" s="13" t="s">
        <v>40</v>
      </c>
      <c r="L5" s="2">
        <v>17.1</v>
      </c>
      <c r="M5" s="2">
        <v>1100</v>
      </c>
      <c r="N5" s="2">
        <v>15</v>
      </c>
      <c r="O5" s="2">
        <v>6.37</v>
      </c>
      <c r="P5" s="2">
        <v>88</v>
      </c>
      <c r="Q5" s="2">
        <v>6.88</v>
      </c>
      <c r="R5" s="2"/>
      <c r="S5" s="2">
        <v>0.09</v>
      </c>
      <c r="T5" s="4" t="s">
        <v>47</v>
      </c>
      <c r="U5" s="7">
        <v>10</v>
      </c>
      <c r="V5" s="7">
        <v>10</v>
      </c>
      <c r="W5" s="7">
        <v>10</v>
      </c>
      <c r="X5" s="7">
        <v>5</v>
      </c>
      <c r="Y5" s="7">
        <v>5</v>
      </c>
      <c r="Z5" s="7">
        <v>20</v>
      </c>
      <c r="AA5" s="7">
        <v>10</v>
      </c>
      <c r="AB5" s="7">
        <f aca="true" t="shared" si="0" ref="AB5:AB65">SUM(U5:AA5)</f>
        <v>70</v>
      </c>
      <c r="AC5" s="9" t="s">
        <v>7</v>
      </c>
      <c r="AD5" s="4" t="s">
        <v>40</v>
      </c>
    </row>
    <row r="6" spans="1:30" s="10" customFormat="1" ht="24.75" customHeight="1">
      <c r="A6" s="3">
        <v>67</v>
      </c>
      <c r="B6" s="7"/>
      <c r="C6" s="5"/>
      <c r="D6" s="6">
        <v>2012</v>
      </c>
      <c r="E6" s="5"/>
      <c r="F6" s="55" t="s">
        <v>47</v>
      </c>
      <c r="G6" s="7">
        <v>6</v>
      </c>
      <c r="H6" s="7" t="s">
        <v>1</v>
      </c>
      <c r="I6" s="8">
        <v>3.4</v>
      </c>
      <c r="J6" s="7" t="s">
        <v>4</v>
      </c>
      <c r="K6" s="13" t="s">
        <v>66</v>
      </c>
      <c r="L6" s="2">
        <v>16.2</v>
      </c>
      <c r="M6" s="2">
        <v>1220</v>
      </c>
      <c r="N6" s="2">
        <v>6</v>
      </c>
      <c r="O6" s="2">
        <v>6.12</v>
      </c>
      <c r="P6" s="2">
        <v>84</v>
      </c>
      <c r="Q6" s="2">
        <v>6.81</v>
      </c>
      <c r="R6" s="2"/>
      <c r="S6" s="2">
        <v>0.09</v>
      </c>
      <c r="T6" s="4" t="s">
        <v>47</v>
      </c>
      <c r="U6" s="7">
        <v>5</v>
      </c>
      <c r="V6" s="7">
        <v>10</v>
      </c>
      <c r="W6" s="7">
        <v>0</v>
      </c>
      <c r="X6" s="7">
        <v>0</v>
      </c>
      <c r="Y6" s="7">
        <v>0</v>
      </c>
      <c r="Z6" s="7">
        <v>10</v>
      </c>
      <c r="AA6" s="7">
        <v>5</v>
      </c>
      <c r="AB6" s="7">
        <f t="shared" si="0"/>
        <v>30</v>
      </c>
      <c r="AC6" s="9" t="s">
        <v>4</v>
      </c>
      <c r="AD6" s="4" t="s">
        <v>66</v>
      </c>
    </row>
    <row r="7" spans="1:30" s="10" customFormat="1" ht="24.75" customHeight="1">
      <c r="A7" s="3">
        <v>67</v>
      </c>
      <c r="B7" s="7"/>
      <c r="C7" s="5"/>
      <c r="D7" s="6">
        <v>2013</v>
      </c>
      <c r="E7" s="5"/>
      <c r="F7" s="55" t="s">
        <v>70</v>
      </c>
      <c r="G7" s="7">
        <v>10</v>
      </c>
      <c r="H7" s="7" t="s">
        <v>1</v>
      </c>
      <c r="I7" s="8">
        <v>2.29</v>
      </c>
      <c r="J7" s="7" t="s">
        <v>2</v>
      </c>
      <c r="K7" s="13" t="s">
        <v>47</v>
      </c>
      <c r="L7" s="2">
        <v>18.8</v>
      </c>
      <c r="M7" s="2">
        <f>2.13*1000</f>
        <v>2130</v>
      </c>
      <c r="N7" s="2">
        <v>6</v>
      </c>
      <c r="O7" s="2">
        <v>4.33</v>
      </c>
      <c r="P7" s="2">
        <v>76</v>
      </c>
      <c r="Q7" s="2">
        <v>7.77</v>
      </c>
      <c r="R7" s="2"/>
      <c r="S7" s="2">
        <v>0.16</v>
      </c>
      <c r="T7" s="4" t="s">
        <v>46</v>
      </c>
      <c r="U7" s="7">
        <v>5</v>
      </c>
      <c r="V7" s="7">
        <v>10</v>
      </c>
      <c r="W7" s="7">
        <v>5</v>
      </c>
      <c r="X7" s="7">
        <v>0</v>
      </c>
      <c r="Y7" s="7">
        <v>0</v>
      </c>
      <c r="Z7" s="7">
        <v>10</v>
      </c>
      <c r="AA7" s="7">
        <v>5</v>
      </c>
      <c r="AB7" s="7">
        <f t="shared" si="0"/>
        <v>35</v>
      </c>
      <c r="AC7" s="9" t="s">
        <v>4</v>
      </c>
      <c r="AD7" s="4" t="s">
        <v>66</v>
      </c>
    </row>
    <row r="8" spans="1:30" s="10" customFormat="1" ht="24.75" customHeight="1">
      <c r="A8" s="3">
        <v>67</v>
      </c>
      <c r="B8" s="7"/>
      <c r="C8" s="5"/>
      <c r="D8" s="6">
        <v>2014</v>
      </c>
      <c r="E8" s="5"/>
      <c r="F8" s="55" t="s">
        <v>70</v>
      </c>
      <c r="G8" s="7">
        <v>9</v>
      </c>
      <c r="H8" s="32" t="s">
        <v>1</v>
      </c>
      <c r="I8" s="33">
        <v>1.5</v>
      </c>
      <c r="J8" s="32" t="s">
        <v>2</v>
      </c>
      <c r="K8" s="4" t="s">
        <v>47</v>
      </c>
      <c r="L8" s="2">
        <v>19.2</v>
      </c>
      <c r="M8" s="30">
        <v>2500</v>
      </c>
      <c r="N8" s="2">
        <v>32</v>
      </c>
      <c r="O8" s="2">
        <v>4.39</v>
      </c>
      <c r="P8" s="2">
        <v>80</v>
      </c>
      <c r="Q8" s="2">
        <v>8.12</v>
      </c>
      <c r="R8" s="2"/>
      <c r="S8" s="2">
        <v>0.04</v>
      </c>
      <c r="T8" s="4" t="s">
        <v>46</v>
      </c>
      <c r="U8" s="7">
        <v>5</v>
      </c>
      <c r="V8" s="7">
        <v>10</v>
      </c>
      <c r="W8" s="7">
        <v>5</v>
      </c>
      <c r="X8" s="7">
        <v>0</v>
      </c>
      <c r="Y8" s="7">
        <v>0</v>
      </c>
      <c r="Z8" s="7">
        <v>10</v>
      </c>
      <c r="AA8" s="7">
        <v>5</v>
      </c>
      <c r="AB8" s="7">
        <f t="shared" si="0"/>
        <v>35</v>
      </c>
      <c r="AC8" s="9" t="s">
        <v>4</v>
      </c>
      <c r="AD8" s="4" t="s">
        <v>66</v>
      </c>
    </row>
    <row r="9" spans="1:30" s="10" customFormat="1" ht="24.75" customHeight="1">
      <c r="A9" s="3">
        <v>67</v>
      </c>
      <c r="B9" s="7"/>
      <c r="C9" s="5"/>
      <c r="D9" s="6">
        <v>2015</v>
      </c>
      <c r="E9" s="5"/>
      <c r="F9" s="55" t="s">
        <v>47</v>
      </c>
      <c r="G9" s="7">
        <v>6</v>
      </c>
      <c r="H9" s="32" t="s">
        <v>1</v>
      </c>
      <c r="I9" s="33">
        <v>2.21</v>
      </c>
      <c r="J9" s="32" t="s">
        <v>2</v>
      </c>
      <c r="K9" s="4" t="s">
        <v>47</v>
      </c>
      <c r="L9" s="2">
        <v>18.4</v>
      </c>
      <c r="M9" s="30">
        <f>1.52*1000</f>
        <v>1520</v>
      </c>
      <c r="N9" s="2">
        <v>4</v>
      </c>
      <c r="O9" s="2">
        <v>5.42</v>
      </c>
      <c r="P9" s="2">
        <v>60</v>
      </c>
      <c r="Q9" s="2">
        <v>7.86</v>
      </c>
      <c r="R9" s="2"/>
      <c r="S9" s="2">
        <v>0.12</v>
      </c>
      <c r="T9" s="4" t="s">
        <v>46</v>
      </c>
      <c r="U9" s="7">
        <v>10</v>
      </c>
      <c r="V9" s="7">
        <v>10</v>
      </c>
      <c r="W9" s="7">
        <v>5</v>
      </c>
      <c r="X9" s="7">
        <v>0</v>
      </c>
      <c r="Y9" s="7">
        <v>0</v>
      </c>
      <c r="Z9" s="7">
        <v>10</v>
      </c>
      <c r="AA9" s="7">
        <v>5</v>
      </c>
      <c r="AB9" s="7">
        <f t="shared" si="0"/>
        <v>40</v>
      </c>
      <c r="AC9" s="9" t="s">
        <v>4</v>
      </c>
      <c r="AD9" s="4" t="s">
        <v>66</v>
      </c>
    </row>
    <row r="10" spans="1:30" s="10" customFormat="1" ht="24.75" customHeight="1">
      <c r="A10" s="43">
        <v>67</v>
      </c>
      <c r="B10" s="32"/>
      <c r="C10" s="44"/>
      <c r="D10" s="45">
        <v>2016</v>
      </c>
      <c r="E10" s="44"/>
      <c r="F10" s="55" t="s">
        <v>47</v>
      </c>
      <c r="G10" s="7">
        <v>16</v>
      </c>
      <c r="H10" s="32" t="s">
        <v>6</v>
      </c>
      <c r="I10" s="33">
        <v>2.27</v>
      </c>
      <c r="J10" s="32" t="s">
        <v>2</v>
      </c>
      <c r="K10" s="4" t="s">
        <v>47</v>
      </c>
      <c r="L10" s="2">
        <v>17.6</v>
      </c>
      <c r="M10" s="30">
        <f>0.99*1000</f>
        <v>990</v>
      </c>
      <c r="N10" s="2">
        <v>7</v>
      </c>
      <c r="O10" s="2">
        <v>5.64</v>
      </c>
      <c r="P10" s="2">
        <v>60</v>
      </c>
      <c r="Q10" s="2">
        <v>7.37</v>
      </c>
      <c r="R10" s="2"/>
      <c r="S10" s="2">
        <v>0.09</v>
      </c>
      <c r="T10" s="4" t="s">
        <v>66</v>
      </c>
      <c r="U10" s="7">
        <v>5</v>
      </c>
      <c r="V10" s="7">
        <v>10</v>
      </c>
      <c r="W10" s="7">
        <v>5</v>
      </c>
      <c r="X10" s="7">
        <v>5</v>
      </c>
      <c r="Y10" s="7">
        <v>10</v>
      </c>
      <c r="Z10" s="7">
        <v>10</v>
      </c>
      <c r="AA10" s="7">
        <v>5</v>
      </c>
      <c r="AB10" s="7">
        <f t="shared" si="0"/>
        <v>50</v>
      </c>
      <c r="AC10" s="9" t="s">
        <v>4</v>
      </c>
      <c r="AD10" s="4" t="s">
        <v>66</v>
      </c>
    </row>
    <row r="11" spans="1:30" s="53" customFormat="1" ht="24.75" customHeight="1">
      <c r="A11" s="43">
        <v>67</v>
      </c>
      <c r="B11" s="32"/>
      <c r="C11" s="44"/>
      <c r="D11" s="45">
        <v>2017</v>
      </c>
      <c r="E11" s="44"/>
      <c r="F11" s="55" t="s">
        <v>47</v>
      </c>
      <c r="G11" s="32">
        <v>11</v>
      </c>
      <c r="H11" s="32" t="s">
        <v>1</v>
      </c>
      <c r="I11" s="33">
        <v>3.24</v>
      </c>
      <c r="J11" s="32" t="s">
        <v>4</v>
      </c>
      <c r="K11" s="51" t="s">
        <v>66</v>
      </c>
      <c r="L11" s="32">
        <v>17.9</v>
      </c>
      <c r="M11" s="45">
        <f>1.04*1000</f>
        <v>1040</v>
      </c>
      <c r="N11" s="32">
        <v>2</v>
      </c>
      <c r="O11" s="32">
        <v>0.3</v>
      </c>
      <c r="P11" s="32">
        <v>4</v>
      </c>
      <c r="Q11" s="32">
        <v>7.07</v>
      </c>
      <c r="R11" s="32"/>
      <c r="S11" s="32">
        <v>0.18</v>
      </c>
      <c r="T11" s="51" t="s">
        <v>46</v>
      </c>
      <c r="U11" s="32">
        <v>5</v>
      </c>
      <c r="V11" s="32">
        <v>10</v>
      </c>
      <c r="W11" s="32">
        <v>5</v>
      </c>
      <c r="X11" s="32">
        <v>5</v>
      </c>
      <c r="Y11" s="32">
        <v>10</v>
      </c>
      <c r="Z11" s="32">
        <v>0</v>
      </c>
      <c r="AA11" s="32">
        <v>10</v>
      </c>
      <c r="AB11" s="32">
        <f t="shared" si="0"/>
        <v>45</v>
      </c>
      <c r="AC11" s="52" t="s">
        <v>4</v>
      </c>
      <c r="AD11" s="51" t="s">
        <v>66</v>
      </c>
    </row>
    <row r="12" spans="1:30" s="53" customFormat="1" ht="24.75" customHeight="1">
      <c r="A12" s="43">
        <v>67</v>
      </c>
      <c r="B12" s="32"/>
      <c r="C12" s="44"/>
      <c r="D12" s="45">
        <v>2018</v>
      </c>
      <c r="E12" s="44"/>
      <c r="F12" s="55" t="s">
        <v>47</v>
      </c>
      <c r="G12" s="7">
        <v>9</v>
      </c>
      <c r="H12" s="32" t="s">
        <v>1</v>
      </c>
      <c r="I12" s="33">
        <v>3.35</v>
      </c>
      <c r="J12" s="32" t="s">
        <v>4</v>
      </c>
      <c r="K12" s="4" t="s">
        <v>66</v>
      </c>
      <c r="L12" s="2">
        <v>18.7</v>
      </c>
      <c r="M12" s="30">
        <f>1.04*1000</f>
        <v>1040</v>
      </c>
      <c r="N12" s="2">
        <v>9</v>
      </c>
      <c r="O12" s="2">
        <v>4.56</v>
      </c>
      <c r="P12" s="2">
        <v>48</v>
      </c>
      <c r="Q12" s="2">
        <v>6.93</v>
      </c>
      <c r="R12" s="2"/>
      <c r="S12" s="2">
        <v>0.14</v>
      </c>
      <c r="T12" s="4" t="s">
        <v>47</v>
      </c>
      <c r="U12" s="7">
        <v>5</v>
      </c>
      <c r="V12" s="7">
        <v>10</v>
      </c>
      <c r="W12" s="7">
        <v>5</v>
      </c>
      <c r="X12" s="7">
        <v>5</v>
      </c>
      <c r="Y12" s="7">
        <v>10</v>
      </c>
      <c r="Z12" s="7">
        <v>0</v>
      </c>
      <c r="AA12" s="7">
        <v>10</v>
      </c>
      <c r="AB12" s="7">
        <f t="shared" si="0"/>
        <v>45</v>
      </c>
      <c r="AC12" s="9" t="s">
        <v>4</v>
      </c>
      <c r="AD12" s="4" t="s">
        <v>66</v>
      </c>
    </row>
    <row r="13" spans="1:30" s="10" customFormat="1" ht="24.75" customHeight="1">
      <c r="A13" s="3">
        <v>67</v>
      </c>
      <c r="B13" s="7"/>
      <c r="C13" s="5"/>
      <c r="D13" s="6">
        <v>2019</v>
      </c>
      <c r="E13" s="5"/>
      <c r="F13" s="55" t="s">
        <v>47</v>
      </c>
      <c r="G13" s="7">
        <v>8</v>
      </c>
      <c r="H13" s="7" t="s">
        <v>1</v>
      </c>
      <c r="I13" s="8">
        <v>3.13</v>
      </c>
      <c r="J13" s="7" t="s">
        <v>4</v>
      </c>
      <c r="K13" s="4" t="s">
        <v>66</v>
      </c>
      <c r="L13" s="7">
        <v>16.3</v>
      </c>
      <c r="M13" s="6">
        <f>1.88*1000</f>
        <v>1880</v>
      </c>
      <c r="N13" s="7">
        <v>3</v>
      </c>
      <c r="O13" s="7">
        <v>5.85</v>
      </c>
      <c r="P13" s="7">
        <v>60</v>
      </c>
      <c r="Q13" s="7">
        <v>7.58</v>
      </c>
      <c r="R13" s="7"/>
      <c r="S13" s="7">
        <v>0.06</v>
      </c>
      <c r="T13" s="4" t="s">
        <v>46</v>
      </c>
      <c r="U13" s="7">
        <v>5</v>
      </c>
      <c r="V13" s="7">
        <v>10</v>
      </c>
      <c r="W13" s="7">
        <v>5</v>
      </c>
      <c r="X13" s="7">
        <v>5</v>
      </c>
      <c r="Y13" s="7">
        <v>10</v>
      </c>
      <c r="Z13" s="7">
        <v>0</v>
      </c>
      <c r="AA13" s="7">
        <v>10</v>
      </c>
      <c r="AB13" s="7">
        <f t="shared" si="0"/>
        <v>45</v>
      </c>
      <c r="AC13" s="9" t="s">
        <v>4</v>
      </c>
      <c r="AD13" s="4" t="s">
        <v>66</v>
      </c>
    </row>
    <row r="14" spans="1:30" s="53" customFormat="1" ht="24.75" customHeight="1">
      <c r="A14" s="43">
        <v>67</v>
      </c>
      <c r="B14" s="32"/>
      <c r="C14" s="44"/>
      <c r="D14" s="45">
        <v>2020</v>
      </c>
      <c r="E14" s="44"/>
      <c r="F14" s="55" t="s">
        <v>47</v>
      </c>
      <c r="G14" s="32">
        <v>12</v>
      </c>
      <c r="H14" s="32" t="s">
        <v>1</v>
      </c>
      <c r="I14" s="33">
        <v>3.15</v>
      </c>
      <c r="J14" s="32" t="s">
        <v>4</v>
      </c>
      <c r="K14" s="51" t="s">
        <v>66</v>
      </c>
      <c r="L14" s="32">
        <v>12.8</v>
      </c>
      <c r="M14" s="45">
        <f>2.26*1000</f>
        <v>2260</v>
      </c>
      <c r="N14" s="32">
        <v>3</v>
      </c>
      <c r="O14" s="32">
        <v>7.2</v>
      </c>
      <c r="P14" s="32">
        <v>69.2</v>
      </c>
      <c r="Q14" s="32">
        <v>6.87</v>
      </c>
      <c r="R14" s="32"/>
      <c r="S14" s="32">
        <v>0.03</v>
      </c>
      <c r="T14" s="51" t="s">
        <v>46</v>
      </c>
      <c r="U14" s="32">
        <v>5</v>
      </c>
      <c r="V14" s="32">
        <v>10</v>
      </c>
      <c r="W14" s="32">
        <v>5</v>
      </c>
      <c r="X14" s="32">
        <v>5</v>
      </c>
      <c r="Y14" s="32">
        <v>5</v>
      </c>
      <c r="Z14" s="32">
        <v>0</v>
      </c>
      <c r="AA14" s="32">
        <v>5</v>
      </c>
      <c r="AB14" s="32">
        <f t="shared" si="0"/>
        <v>35</v>
      </c>
      <c r="AC14" s="52" t="s">
        <v>4</v>
      </c>
      <c r="AD14" s="51" t="s">
        <v>66</v>
      </c>
    </row>
    <row r="15" spans="1:30" s="53" customFormat="1" ht="24.75" customHeight="1">
      <c r="A15" s="43">
        <v>67</v>
      </c>
      <c r="B15" s="32"/>
      <c r="C15" s="44"/>
      <c r="D15" s="45">
        <v>2021</v>
      </c>
      <c r="E15" s="44"/>
      <c r="F15" s="55" t="s">
        <v>47</v>
      </c>
      <c r="G15" s="32">
        <v>8</v>
      </c>
      <c r="H15" s="32" t="s">
        <v>1</v>
      </c>
      <c r="I15" s="33">
        <v>3.56</v>
      </c>
      <c r="J15" s="32" t="s">
        <v>4</v>
      </c>
      <c r="K15" s="51" t="s">
        <v>66</v>
      </c>
      <c r="L15" s="32">
        <v>17.7</v>
      </c>
      <c r="M15" s="45">
        <v>797</v>
      </c>
      <c r="N15" s="32">
        <v>5.62</v>
      </c>
      <c r="O15" s="32">
        <v>4</v>
      </c>
      <c r="P15" s="32">
        <v>42.8</v>
      </c>
      <c r="Q15" s="32">
        <v>7.52</v>
      </c>
      <c r="R15" s="32" t="s">
        <v>91</v>
      </c>
      <c r="S15" s="32">
        <v>0.15</v>
      </c>
      <c r="T15" s="51" t="s">
        <v>40</v>
      </c>
      <c r="U15" s="32">
        <v>10</v>
      </c>
      <c r="V15" s="32">
        <v>10</v>
      </c>
      <c r="W15" s="32">
        <v>5</v>
      </c>
      <c r="X15" s="32">
        <v>5</v>
      </c>
      <c r="Y15" s="32">
        <v>5</v>
      </c>
      <c r="Z15" s="32">
        <v>0</v>
      </c>
      <c r="AA15" s="32">
        <v>5</v>
      </c>
      <c r="AB15" s="32">
        <f t="shared" si="0"/>
        <v>40</v>
      </c>
      <c r="AC15" s="52" t="s">
        <v>4</v>
      </c>
      <c r="AD15" s="51" t="s">
        <v>66</v>
      </c>
    </row>
    <row r="16" spans="1:30" s="10" customFormat="1" ht="24.75" customHeight="1">
      <c r="A16" s="3">
        <v>22</v>
      </c>
      <c r="B16" s="5" t="s">
        <v>12</v>
      </c>
      <c r="C16" s="5" t="s">
        <v>13</v>
      </c>
      <c r="D16" s="11">
        <v>2011</v>
      </c>
      <c r="E16" s="5" t="s">
        <v>10</v>
      </c>
      <c r="F16" s="55" t="s">
        <v>47</v>
      </c>
      <c r="G16" s="7">
        <v>12</v>
      </c>
      <c r="H16" s="7" t="s">
        <v>1</v>
      </c>
      <c r="I16" s="8">
        <v>3.33</v>
      </c>
      <c r="J16" s="7" t="s">
        <v>4</v>
      </c>
      <c r="K16" s="13" t="s">
        <v>66</v>
      </c>
      <c r="L16" s="2">
        <v>18.2</v>
      </c>
      <c r="M16" s="2">
        <v>491</v>
      </c>
      <c r="N16" s="2">
        <v>75</v>
      </c>
      <c r="O16" s="2">
        <v>6.94</v>
      </c>
      <c r="P16" s="2">
        <v>108</v>
      </c>
      <c r="Q16" s="2">
        <v>6.5</v>
      </c>
      <c r="R16" s="2"/>
      <c r="S16" s="2">
        <v>0.11</v>
      </c>
      <c r="T16" s="4" t="s">
        <v>46</v>
      </c>
      <c r="U16" s="7">
        <v>5</v>
      </c>
      <c r="V16" s="7">
        <v>10</v>
      </c>
      <c r="W16" s="7">
        <v>10</v>
      </c>
      <c r="X16" s="7">
        <v>0</v>
      </c>
      <c r="Y16" s="7">
        <v>5</v>
      </c>
      <c r="Z16" s="7">
        <v>10</v>
      </c>
      <c r="AA16" s="7">
        <v>10</v>
      </c>
      <c r="AB16" s="7">
        <f t="shared" si="0"/>
        <v>50</v>
      </c>
      <c r="AC16" s="9" t="s">
        <v>4</v>
      </c>
      <c r="AD16" s="4" t="s">
        <v>66</v>
      </c>
    </row>
    <row r="17" spans="1:30" s="10" customFormat="1" ht="24.75" customHeight="1">
      <c r="A17" s="3">
        <v>22</v>
      </c>
      <c r="B17" s="5"/>
      <c r="C17" s="5"/>
      <c r="D17" s="11">
        <v>2012</v>
      </c>
      <c r="E17" s="5"/>
      <c r="F17" s="55" t="s">
        <v>66</v>
      </c>
      <c r="G17" s="7">
        <v>13</v>
      </c>
      <c r="H17" s="7" t="s">
        <v>1</v>
      </c>
      <c r="I17" s="8">
        <v>3.6</v>
      </c>
      <c r="J17" s="7" t="s">
        <v>4</v>
      </c>
      <c r="K17" s="13" t="s">
        <v>66</v>
      </c>
      <c r="L17" s="2">
        <v>16</v>
      </c>
      <c r="M17" s="2">
        <v>608</v>
      </c>
      <c r="N17" s="2">
        <v>6</v>
      </c>
      <c r="O17" s="2">
        <v>6.59</v>
      </c>
      <c r="P17" s="2">
        <v>88</v>
      </c>
      <c r="Q17" s="2">
        <v>6.55</v>
      </c>
      <c r="R17" s="2"/>
      <c r="S17" s="2">
        <v>0.06</v>
      </c>
      <c r="T17" s="4" t="s">
        <v>39</v>
      </c>
      <c r="U17" s="7">
        <v>5</v>
      </c>
      <c r="V17" s="7">
        <v>10</v>
      </c>
      <c r="W17" s="7">
        <v>10</v>
      </c>
      <c r="X17" s="7">
        <v>0</v>
      </c>
      <c r="Y17" s="7">
        <v>5</v>
      </c>
      <c r="Z17" s="7">
        <v>10</v>
      </c>
      <c r="AA17" s="7">
        <v>10</v>
      </c>
      <c r="AB17" s="7">
        <f t="shared" si="0"/>
        <v>50</v>
      </c>
      <c r="AC17" s="9" t="s">
        <v>4</v>
      </c>
      <c r="AD17" s="4" t="s">
        <v>66</v>
      </c>
    </row>
    <row r="18" spans="1:30" s="10" customFormat="1" ht="24.75" customHeight="1">
      <c r="A18" s="3">
        <v>22</v>
      </c>
      <c r="B18" s="5"/>
      <c r="C18" s="5"/>
      <c r="D18" s="11">
        <v>2013</v>
      </c>
      <c r="E18" s="5"/>
      <c r="F18" s="55" t="s">
        <v>47</v>
      </c>
      <c r="G18" s="7">
        <v>18</v>
      </c>
      <c r="H18" s="7" t="s">
        <v>6</v>
      </c>
      <c r="I18" s="8">
        <v>2.8</v>
      </c>
      <c r="J18" s="7" t="s">
        <v>2</v>
      </c>
      <c r="K18" s="13" t="s">
        <v>47</v>
      </c>
      <c r="L18" s="2">
        <v>15.7</v>
      </c>
      <c r="M18" s="2">
        <f>0.99*1000</f>
        <v>990</v>
      </c>
      <c r="N18" s="2">
        <v>4</v>
      </c>
      <c r="O18" s="2">
        <v>4.75</v>
      </c>
      <c r="P18" s="2">
        <v>72</v>
      </c>
      <c r="Q18" s="2">
        <v>7.49</v>
      </c>
      <c r="R18" s="2"/>
      <c r="S18" s="2">
        <v>0.02</v>
      </c>
      <c r="T18" s="4" t="s">
        <v>39</v>
      </c>
      <c r="U18" s="7">
        <v>5</v>
      </c>
      <c r="V18" s="7">
        <v>10</v>
      </c>
      <c r="W18" s="7">
        <v>5</v>
      </c>
      <c r="X18" s="7">
        <v>0</v>
      </c>
      <c r="Y18" s="7">
        <v>5</v>
      </c>
      <c r="Z18" s="7">
        <v>10</v>
      </c>
      <c r="AA18" s="7">
        <v>5</v>
      </c>
      <c r="AB18" s="7">
        <f t="shared" si="0"/>
        <v>40</v>
      </c>
      <c r="AC18" s="9" t="s">
        <v>4</v>
      </c>
      <c r="AD18" s="4" t="s">
        <v>66</v>
      </c>
    </row>
    <row r="19" spans="1:30" s="10" customFormat="1" ht="24.75" customHeight="1">
      <c r="A19" s="3">
        <v>22</v>
      </c>
      <c r="B19" s="5"/>
      <c r="C19" s="5"/>
      <c r="D19" s="11">
        <v>2014</v>
      </c>
      <c r="E19" s="5"/>
      <c r="F19" s="55" t="s">
        <v>66</v>
      </c>
      <c r="G19" s="7">
        <v>12</v>
      </c>
      <c r="H19" s="7" t="s">
        <v>1</v>
      </c>
      <c r="I19" s="8">
        <v>2.8</v>
      </c>
      <c r="J19" s="7" t="s">
        <v>2</v>
      </c>
      <c r="K19" s="13" t="s">
        <v>47</v>
      </c>
      <c r="L19" s="2">
        <v>19.3</v>
      </c>
      <c r="M19" s="2">
        <f>0.67*1000</f>
        <v>670</v>
      </c>
      <c r="N19" s="2">
        <v>4</v>
      </c>
      <c r="O19" s="2">
        <v>8.57</v>
      </c>
      <c r="P19" s="2">
        <v>96</v>
      </c>
      <c r="Q19" s="2">
        <v>7.5</v>
      </c>
      <c r="R19" s="2"/>
      <c r="S19" s="2">
        <v>0.04</v>
      </c>
      <c r="T19" s="4" t="s">
        <v>39</v>
      </c>
      <c r="U19" s="7">
        <v>5</v>
      </c>
      <c r="V19" s="7">
        <v>10</v>
      </c>
      <c r="W19" s="7">
        <v>10</v>
      </c>
      <c r="X19" s="7">
        <v>0</v>
      </c>
      <c r="Y19" s="7">
        <v>5</v>
      </c>
      <c r="Z19" s="7">
        <v>20</v>
      </c>
      <c r="AA19" s="7">
        <v>5</v>
      </c>
      <c r="AB19" s="7">
        <f t="shared" si="0"/>
        <v>55</v>
      </c>
      <c r="AC19" s="9" t="s">
        <v>7</v>
      </c>
      <c r="AD19" s="4" t="s">
        <v>40</v>
      </c>
    </row>
    <row r="20" spans="1:30" s="10" customFormat="1" ht="24.75" customHeight="1">
      <c r="A20" s="3">
        <v>22</v>
      </c>
      <c r="B20" s="5"/>
      <c r="C20" s="5"/>
      <c r="D20" s="11">
        <v>2015</v>
      </c>
      <c r="E20" s="5"/>
      <c r="F20" s="55" t="s">
        <v>47</v>
      </c>
      <c r="G20" s="7">
        <v>13</v>
      </c>
      <c r="H20" s="7" t="s">
        <v>1</v>
      </c>
      <c r="I20" s="8">
        <v>1.66</v>
      </c>
      <c r="J20" s="7" t="s">
        <v>2</v>
      </c>
      <c r="K20" s="13" t="s">
        <v>47</v>
      </c>
      <c r="L20" s="2">
        <v>19.7</v>
      </c>
      <c r="M20" s="2">
        <f>0.655*1000</f>
        <v>655</v>
      </c>
      <c r="N20" s="2">
        <v>9</v>
      </c>
      <c r="O20" s="2">
        <v>8.36</v>
      </c>
      <c r="P20" s="2">
        <v>94</v>
      </c>
      <c r="Q20" s="2">
        <v>7.84</v>
      </c>
      <c r="R20" s="2"/>
      <c r="S20" s="2">
        <v>0.15</v>
      </c>
      <c r="T20" s="4" t="s">
        <v>39</v>
      </c>
      <c r="U20" s="7">
        <v>5</v>
      </c>
      <c r="V20" s="7">
        <v>10</v>
      </c>
      <c r="W20" s="7">
        <v>10</v>
      </c>
      <c r="X20" s="7">
        <v>0</v>
      </c>
      <c r="Y20" s="7">
        <v>10</v>
      </c>
      <c r="Z20" s="7">
        <v>10</v>
      </c>
      <c r="AA20" s="7">
        <v>5</v>
      </c>
      <c r="AB20" s="7">
        <f t="shared" si="0"/>
        <v>50</v>
      </c>
      <c r="AC20" s="9" t="s">
        <v>4</v>
      </c>
      <c r="AD20" s="4" t="s">
        <v>66</v>
      </c>
    </row>
    <row r="21" spans="1:30" s="10" customFormat="1" ht="24.75" customHeight="1">
      <c r="A21" s="43">
        <v>22</v>
      </c>
      <c r="B21" s="44"/>
      <c r="C21" s="44"/>
      <c r="D21" s="46">
        <v>2016</v>
      </c>
      <c r="E21" s="44"/>
      <c r="F21" s="55" t="s">
        <v>47</v>
      </c>
      <c r="G21" s="7">
        <v>20</v>
      </c>
      <c r="H21" s="7" t="s">
        <v>6</v>
      </c>
      <c r="I21" s="8">
        <v>2.82</v>
      </c>
      <c r="J21" s="7" t="s">
        <v>2</v>
      </c>
      <c r="K21" s="13" t="s">
        <v>47</v>
      </c>
      <c r="L21" s="2">
        <v>14.6</v>
      </c>
      <c r="M21" s="2">
        <f>0.487*1000</f>
        <v>487</v>
      </c>
      <c r="N21" s="2">
        <v>54</v>
      </c>
      <c r="O21" s="2">
        <v>6.7</v>
      </c>
      <c r="P21" s="30">
        <v>66</v>
      </c>
      <c r="Q21" s="2">
        <v>7.27</v>
      </c>
      <c r="R21" s="2"/>
      <c r="S21" s="2">
        <v>0.19</v>
      </c>
      <c r="T21" s="4" t="s">
        <v>70</v>
      </c>
      <c r="U21" s="7">
        <v>5</v>
      </c>
      <c r="V21" s="7">
        <v>10</v>
      </c>
      <c r="W21" s="7">
        <v>10</v>
      </c>
      <c r="X21" s="7">
        <v>0</v>
      </c>
      <c r="Y21" s="7">
        <v>5</v>
      </c>
      <c r="Z21" s="7">
        <v>10</v>
      </c>
      <c r="AA21" s="7">
        <v>5</v>
      </c>
      <c r="AB21" s="7">
        <f t="shared" si="0"/>
        <v>45</v>
      </c>
      <c r="AC21" s="9" t="s">
        <v>4</v>
      </c>
      <c r="AD21" s="4" t="s">
        <v>66</v>
      </c>
    </row>
    <row r="22" spans="1:30" s="53" customFormat="1" ht="24.75" customHeight="1">
      <c r="A22" s="43">
        <v>22</v>
      </c>
      <c r="B22" s="44"/>
      <c r="C22" s="44"/>
      <c r="D22" s="46">
        <v>2017</v>
      </c>
      <c r="E22" s="44"/>
      <c r="F22" s="55" t="s">
        <v>47</v>
      </c>
      <c r="G22" s="32">
        <v>18</v>
      </c>
      <c r="H22" s="32" t="s">
        <v>6</v>
      </c>
      <c r="I22" s="33">
        <v>2.88</v>
      </c>
      <c r="J22" s="32" t="s">
        <v>2</v>
      </c>
      <c r="K22" s="51" t="s">
        <v>47</v>
      </c>
      <c r="L22" s="32">
        <v>21</v>
      </c>
      <c r="M22" s="32">
        <f>0.956*1000</f>
        <v>956</v>
      </c>
      <c r="N22" s="32">
        <v>3</v>
      </c>
      <c r="O22" s="32">
        <v>0.6</v>
      </c>
      <c r="P22" s="45">
        <v>10</v>
      </c>
      <c r="Q22" s="32">
        <v>7.48</v>
      </c>
      <c r="R22" s="32"/>
      <c r="S22" s="32">
        <v>0.06</v>
      </c>
      <c r="T22" s="51" t="s">
        <v>70</v>
      </c>
      <c r="U22" s="32">
        <v>0</v>
      </c>
      <c r="V22" s="32">
        <v>10</v>
      </c>
      <c r="W22" s="32">
        <v>5</v>
      </c>
      <c r="X22" s="32">
        <v>5</v>
      </c>
      <c r="Y22" s="32">
        <v>5</v>
      </c>
      <c r="Z22" s="32">
        <v>20</v>
      </c>
      <c r="AA22" s="32">
        <v>5</v>
      </c>
      <c r="AB22" s="32">
        <f t="shared" si="0"/>
        <v>50</v>
      </c>
      <c r="AC22" s="52" t="s">
        <v>68</v>
      </c>
      <c r="AD22" s="51" t="s">
        <v>66</v>
      </c>
    </row>
    <row r="23" spans="1:30" s="10" customFormat="1" ht="24.75" customHeight="1">
      <c r="A23" s="43">
        <v>22</v>
      </c>
      <c r="B23" s="44"/>
      <c r="C23" s="44"/>
      <c r="D23" s="46">
        <v>2018</v>
      </c>
      <c r="E23" s="44"/>
      <c r="F23" s="55" t="s">
        <v>47</v>
      </c>
      <c r="G23" s="32">
        <v>18</v>
      </c>
      <c r="H23" s="32" t="s">
        <v>6</v>
      </c>
      <c r="I23" s="33">
        <v>3.48</v>
      </c>
      <c r="J23" s="32" t="s">
        <v>4</v>
      </c>
      <c r="K23" s="51" t="s">
        <v>66</v>
      </c>
      <c r="L23" s="32">
        <v>18.9</v>
      </c>
      <c r="M23" s="32">
        <f>0.394*1000</f>
        <v>394</v>
      </c>
      <c r="N23" s="32">
        <v>70</v>
      </c>
      <c r="O23" s="32">
        <v>7.86</v>
      </c>
      <c r="P23" s="45">
        <v>86</v>
      </c>
      <c r="Q23" s="32">
        <v>7.04</v>
      </c>
      <c r="R23" s="32"/>
      <c r="S23" s="32">
        <v>0.21</v>
      </c>
      <c r="T23" s="51" t="s">
        <v>46</v>
      </c>
      <c r="U23" s="32">
        <v>0</v>
      </c>
      <c r="V23" s="32">
        <v>10</v>
      </c>
      <c r="W23" s="32">
        <v>10</v>
      </c>
      <c r="X23" s="32">
        <v>5</v>
      </c>
      <c r="Y23" s="32">
        <v>5</v>
      </c>
      <c r="Z23" s="32">
        <v>10</v>
      </c>
      <c r="AA23" s="32">
        <v>5</v>
      </c>
      <c r="AB23" s="32">
        <f t="shared" si="0"/>
        <v>45</v>
      </c>
      <c r="AC23" s="52" t="s">
        <v>4</v>
      </c>
      <c r="AD23" s="51" t="s">
        <v>66</v>
      </c>
    </row>
    <row r="24" spans="1:30" s="10" customFormat="1" ht="24.75" customHeight="1">
      <c r="A24" s="3">
        <v>22</v>
      </c>
      <c r="B24" s="5"/>
      <c r="C24" s="5"/>
      <c r="D24" s="11">
        <v>2019</v>
      </c>
      <c r="E24" s="5"/>
      <c r="F24" s="55" t="s">
        <v>66</v>
      </c>
      <c r="G24" s="7">
        <v>24</v>
      </c>
      <c r="H24" s="7" t="s">
        <v>6</v>
      </c>
      <c r="I24" s="8">
        <v>3.87</v>
      </c>
      <c r="J24" s="7" t="s">
        <v>4</v>
      </c>
      <c r="K24" s="4" t="s">
        <v>66</v>
      </c>
      <c r="L24" s="7">
        <v>15.1</v>
      </c>
      <c r="M24" s="7">
        <f>0.512*1000</f>
        <v>512</v>
      </c>
      <c r="N24" s="7">
        <v>6</v>
      </c>
      <c r="O24" s="7">
        <v>6.63</v>
      </c>
      <c r="P24" s="6">
        <v>68</v>
      </c>
      <c r="Q24" s="7">
        <v>7.3</v>
      </c>
      <c r="R24" s="7"/>
      <c r="S24" s="7">
        <v>0.06</v>
      </c>
      <c r="T24" s="4" t="s">
        <v>39</v>
      </c>
      <c r="U24" s="7">
        <v>0</v>
      </c>
      <c r="V24" s="7">
        <v>10</v>
      </c>
      <c r="W24" s="7">
        <v>10</v>
      </c>
      <c r="X24" s="7">
        <v>5</v>
      </c>
      <c r="Y24" s="7">
        <v>5</v>
      </c>
      <c r="Z24" s="7">
        <v>20</v>
      </c>
      <c r="AA24" s="7">
        <v>5</v>
      </c>
      <c r="AB24" s="7">
        <f t="shared" si="0"/>
        <v>55</v>
      </c>
      <c r="AC24" s="9" t="s">
        <v>7</v>
      </c>
      <c r="AD24" s="4" t="s">
        <v>40</v>
      </c>
    </row>
    <row r="25" spans="1:30" s="53" customFormat="1" ht="24.75" customHeight="1">
      <c r="A25" s="43">
        <v>22</v>
      </c>
      <c r="B25" s="44"/>
      <c r="C25" s="44"/>
      <c r="D25" s="46">
        <v>2020</v>
      </c>
      <c r="E25" s="44"/>
      <c r="F25" s="55" t="s">
        <v>47</v>
      </c>
      <c r="G25" s="32">
        <v>25</v>
      </c>
      <c r="H25" s="32" t="s">
        <v>6</v>
      </c>
      <c r="I25" s="33">
        <v>3.22</v>
      </c>
      <c r="J25" s="32" t="s">
        <v>4</v>
      </c>
      <c r="K25" s="51" t="s">
        <v>66</v>
      </c>
      <c r="L25" s="32">
        <v>16.5</v>
      </c>
      <c r="M25" s="32">
        <f>0.757*1000</f>
        <v>757</v>
      </c>
      <c r="N25" s="32">
        <v>15</v>
      </c>
      <c r="O25" s="32">
        <v>1.8</v>
      </c>
      <c r="P25" s="45">
        <v>19.3</v>
      </c>
      <c r="Q25" s="32">
        <v>7.46</v>
      </c>
      <c r="R25" s="32"/>
      <c r="S25" s="32">
        <v>0.04</v>
      </c>
      <c r="T25" s="51" t="s">
        <v>70</v>
      </c>
      <c r="U25" s="32">
        <v>0</v>
      </c>
      <c r="V25" s="32">
        <v>10</v>
      </c>
      <c r="W25" s="32">
        <v>10</v>
      </c>
      <c r="X25" s="32">
        <v>5</v>
      </c>
      <c r="Y25" s="32">
        <v>0</v>
      </c>
      <c r="Z25" s="32">
        <v>20</v>
      </c>
      <c r="AA25" s="32">
        <v>5</v>
      </c>
      <c r="AB25" s="32">
        <f t="shared" si="0"/>
        <v>50</v>
      </c>
      <c r="AC25" s="52" t="s">
        <v>4</v>
      </c>
      <c r="AD25" s="51" t="s">
        <v>66</v>
      </c>
    </row>
    <row r="26" spans="1:30" s="53" customFormat="1" ht="24.75" customHeight="1">
      <c r="A26" s="43">
        <v>22</v>
      </c>
      <c r="B26" s="44"/>
      <c r="C26" s="44"/>
      <c r="D26" s="46">
        <v>2021</v>
      </c>
      <c r="E26" s="44"/>
      <c r="F26" s="55" t="s">
        <v>47</v>
      </c>
      <c r="G26" s="32">
        <v>17</v>
      </c>
      <c r="H26" s="32" t="s">
        <v>6</v>
      </c>
      <c r="I26" s="33">
        <v>3.13</v>
      </c>
      <c r="J26" s="32" t="s">
        <v>4</v>
      </c>
      <c r="K26" s="51" t="s">
        <v>66</v>
      </c>
      <c r="L26" s="32">
        <v>18.3</v>
      </c>
      <c r="M26" s="32">
        <v>512</v>
      </c>
      <c r="N26" s="32">
        <v>23.8</v>
      </c>
      <c r="O26" s="32">
        <v>6.8</v>
      </c>
      <c r="P26" s="45">
        <v>74</v>
      </c>
      <c r="Q26" s="32">
        <v>7.64</v>
      </c>
      <c r="R26" s="32">
        <v>245.8</v>
      </c>
      <c r="S26" s="32">
        <v>0.12</v>
      </c>
      <c r="T26" s="51" t="s">
        <v>39</v>
      </c>
      <c r="U26" s="32">
        <v>5</v>
      </c>
      <c r="V26" s="32">
        <v>10</v>
      </c>
      <c r="W26" s="32">
        <v>10</v>
      </c>
      <c r="X26" s="32">
        <v>5</v>
      </c>
      <c r="Y26" s="32">
        <v>0</v>
      </c>
      <c r="Z26" s="32">
        <v>10</v>
      </c>
      <c r="AA26" s="32">
        <v>5</v>
      </c>
      <c r="AB26" s="32">
        <f t="shared" si="0"/>
        <v>45</v>
      </c>
      <c r="AC26" s="52" t="s">
        <v>4</v>
      </c>
      <c r="AD26" s="51" t="s">
        <v>66</v>
      </c>
    </row>
    <row r="27" spans="1:30" s="10" customFormat="1" ht="24.75" customHeight="1">
      <c r="A27" s="3">
        <v>71</v>
      </c>
      <c r="B27" s="7" t="s">
        <v>18</v>
      </c>
      <c r="C27" s="5" t="s">
        <v>19</v>
      </c>
      <c r="D27" s="6">
        <v>2011</v>
      </c>
      <c r="E27" s="5" t="s">
        <v>3</v>
      </c>
      <c r="F27" s="55" t="s">
        <v>70</v>
      </c>
      <c r="G27" s="7">
        <v>9</v>
      </c>
      <c r="H27" s="7" t="s">
        <v>1</v>
      </c>
      <c r="I27" s="8">
        <v>2.97</v>
      </c>
      <c r="J27" s="7" t="s">
        <v>2</v>
      </c>
      <c r="K27" s="13" t="s">
        <v>47</v>
      </c>
      <c r="L27" s="2">
        <v>13.9</v>
      </c>
      <c r="M27" s="2">
        <v>516</v>
      </c>
      <c r="N27" s="2">
        <v>96</v>
      </c>
      <c r="O27" s="2" t="s">
        <v>0</v>
      </c>
      <c r="P27" s="2" t="s">
        <v>0</v>
      </c>
      <c r="Q27" s="25">
        <v>6.58</v>
      </c>
      <c r="R27" s="25"/>
      <c r="S27" s="2">
        <v>0.17</v>
      </c>
      <c r="T27" s="4" t="s">
        <v>46</v>
      </c>
      <c r="U27" s="7">
        <v>5</v>
      </c>
      <c r="V27" s="7">
        <v>0</v>
      </c>
      <c r="W27" s="7">
        <v>5</v>
      </c>
      <c r="X27" s="7">
        <v>10</v>
      </c>
      <c r="Y27" s="7">
        <v>0</v>
      </c>
      <c r="Z27" s="7">
        <v>0</v>
      </c>
      <c r="AA27" s="7">
        <v>10</v>
      </c>
      <c r="AB27" s="7">
        <f t="shared" si="0"/>
        <v>30</v>
      </c>
      <c r="AC27" s="9" t="s">
        <v>4</v>
      </c>
      <c r="AD27" s="4" t="s">
        <v>66</v>
      </c>
    </row>
    <row r="28" spans="1:30" s="10" customFormat="1" ht="24.75" customHeight="1">
      <c r="A28" s="3">
        <v>71</v>
      </c>
      <c r="B28" s="7"/>
      <c r="C28" s="5"/>
      <c r="D28" s="6">
        <v>2012</v>
      </c>
      <c r="E28" s="5"/>
      <c r="F28" s="55" t="s">
        <v>70</v>
      </c>
      <c r="G28" s="7">
        <v>4</v>
      </c>
      <c r="H28" s="7" t="s">
        <v>1</v>
      </c>
      <c r="I28" s="8">
        <v>3.1</v>
      </c>
      <c r="J28" s="7" t="s">
        <v>4</v>
      </c>
      <c r="K28" s="13" t="s">
        <v>66</v>
      </c>
      <c r="L28" s="2">
        <v>16.3</v>
      </c>
      <c r="M28" s="2">
        <v>2300</v>
      </c>
      <c r="N28" s="2">
        <v>7</v>
      </c>
      <c r="O28" s="2">
        <v>1.16</v>
      </c>
      <c r="P28" s="2">
        <v>28</v>
      </c>
      <c r="Q28" s="25">
        <v>6.74</v>
      </c>
      <c r="R28" s="25"/>
      <c r="S28" s="2">
        <v>0.09</v>
      </c>
      <c r="T28" s="4" t="s">
        <v>46</v>
      </c>
      <c r="U28" s="7">
        <v>5</v>
      </c>
      <c r="V28" s="7">
        <v>10</v>
      </c>
      <c r="W28" s="7">
        <v>5</v>
      </c>
      <c r="X28" s="7">
        <v>10</v>
      </c>
      <c r="Y28" s="7">
        <v>0</v>
      </c>
      <c r="Z28" s="7">
        <v>10</v>
      </c>
      <c r="AA28" s="7">
        <v>0</v>
      </c>
      <c r="AB28" s="7">
        <f t="shared" si="0"/>
        <v>40</v>
      </c>
      <c r="AC28" s="9" t="s">
        <v>4</v>
      </c>
      <c r="AD28" s="4" t="s">
        <v>66</v>
      </c>
    </row>
    <row r="29" spans="1:30" s="10" customFormat="1" ht="24.75" customHeight="1">
      <c r="A29" s="3">
        <v>71</v>
      </c>
      <c r="B29" s="7"/>
      <c r="C29" s="5"/>
      <c r="D29" s="6">
        <v>2013</v>
      </c>
      <c r="E29" s="5"/>
      <c r="F29" s="55" t="s">
        <v>47</v>
      </c>
      <c r="G29" s="7">
        <v>10</v>
      </c>
      <c r="H29" s="7" t="s">
        <v>1</v>
      </c>
      <c r="I29" s="8">
        <v>2.6</v>
      </c>
      <c r="J29" s="7" t="s">
        <v>2</v>
      </c>
      <c r="K29" s="13" t="s">
        <v>47</v>
      </c>
      <c r="L29" s="2">
        <v>16.56</v>
      </c>
      <c r="M29" s="2">
        <f>1.35*1000</f>
        <v>1350</v>
      </c>
      <c r="N29" s="2">
        <v>5</v>
      </c>
      <c r="O29" s="2">
        <v>2.02</v>
      </c>
      <c r="P29" s="2">
        <v>44</v>
      </c>
      <c r="Q29" s="25">
        <v>7.36</v>
      </c>
      <c r="R29" s="25"/>
      <c r="S29" s="2">
        <v>0.12</v>
      </c>
      <c r="T29" s="4" t="s">
        <v>70</v>
      </c>
      <c r="U29" s="7">
        <v>0</v>
      </c>
      <c r="V29" s="7">
        <v>10</v>
      </c>
      <c r="W29" s="7">
        <v>5</v>
      </c>
      <c r="X29" s="7">
        <v>5</v>
      </c>
      <c r="Y29" s="7">
        <v>0</v>
      </c>
      <c r="Z29" s="7">
        <v>10</v>
      </c>
      <c r="AA29" s="7">
        <v>5</v>
      </c>
      <c r="AB29" s="7">
        <f t="shared" si="0"/>
        <v>35</v>
      </c>
      <c r="AC29" s="9" t="s">
        <v>4</v>
      </c>
      <c r="AD29" s="4" t="s">
        <v>66</v>
      </c>
    </row>
    <row r="30" spans="1:30" s="10" customFormat="1" ht="24.75" customHeight="1">
      <c r="A30" s="3">
        <v>71</v>
      </c>
      <c r="B30" s="7"/>
      <c r="C30" s="5"/>
      <c r="D30" s="6">
        <v>2014</v>
      </c>
      <c r="E30" s="5"/>
      <c r="F30" s="55" t="s">
        <v>47</v>
      </c>
      <c r="G30" s="7">
        <v>10</v>
      </c>
      <c r="H30" s="7" t="s">
        <v>1</v>
      </c>
      <c r="I30" s="8">
        <v>1.6</v>
      </c>
      <c r="J30" s="7" t="s">
        <v>2</v>
      </c>
      <c r="K30" s="13" t="s">
        <v>47</v>
      </c>
      <c r="L30" s="2">
        <v>17.5</v>
      </c>
      <c r="M30" s="2">
        <f>1.25*1000</f>
        <v>1250</v>
      </c>
      <c r="N30" s="2">
        <v>5</v>
      </c>
      <c r="O30" s="2">
        <v>2.84</v>
      </c>
      <c r="P30" s="2">
        <v>58</v>
      </c>
      <c r="Q30" s="25">
        <v>7.64</v>
      </c>
      <c r="R30" s="25"/>
      <c r="S30" s="2">
        <v>0.03</v>
      </c>
      <c r="T30" s="4" t="s">
        <v>47</v>
      </c>
      <c r="U30" s="7">
        <v>5</v>
      </c>
      <c r="V30" s="7">
        <v>10</v>
      </c>
      <c r="W30" s="7">
        <v>10</v>
      </c>
      <c r="X30" s="7">
        <v>5</v>
      </c>
      <c r="Y30" s="7">
        <v>0</v>
      </c>
      <c r="Z30" s="7">
        <v>10</v>
      </c>
      <c r="AA30" s="7">
        <v>5</v>
      </c>
      <c r="AB30" s="7">
        <f t="shared" si="0"/>
        <v>45</v>
      </c>
      <c r="AC30" s="9" t="s">
        <v>4</v>
      </c>
      <c r="AD30" s="4" t="s">
        <v>66</v>
      </c>
    </row>
    <row r="31" spans="1:30" s="10" customFormat="1" ht="24.75" customHeight="1">
      <c r="A31" s="3">
        <v>71</v>
      </c>
      <c r="B31" s="7"/>
      <c r="C31" s="5"/>
      <c r="D31" s="6">
        <v>2015</v>
      </c>
      <c r="E31" s="5"/>
      <c r="F31" s="55" t="s">
        <v>47</v>
      </c>
      <c r="G31" s="7">
        <v>8</v>
      </c>
      <c r="H31" s="7" t="s">
        <v>75</v>
      </c>
      <c r="I31" s="8">
        <v>2.5</v>
      </c>
      <c r="J31" s="7" t="s">
        <v>2</v>
      </c>
      <c r="K31" s="13" t="s">
        <v>47</v>
      </c>
      <c r="L31" s="2">
        <v>19</v>
      </c>
      <c r="M31" s="2">
        <f>0.67*1000</f>
        <v>670</v>
      </c>
      <c r="N31" s="2">
        <v>3</v>
      </c>
      <c r="O31" s="2">
        <v>3.7</v>
      </c>
      <c r="P31" s="2">
        <v>42</v>
      </c>
      <c r="Q31" s="25">
        <v>7.6</v>
      </c>
      <c r="R31" s="25"/>
      <c r="S31" s="2">
        <v>0.11</v>
      </c>
      <c r="T31" s="4" t="s">
        <v>39</v>
      </c>
      <c r="U31" s="7">
        <v>10</v>
      </c>
      <c r="V31" s="7">
        <v>10</v>
      </c>
      <c r="W31" s="7">
        <v>10</v>
      </c>
      <c r="X31" s="7">
        <v>10</v>
      </c>
      <c r="Y31" s="7">
        <v>0</v>
      </c>
      <c r="Z31" s="7">
        <v>0</v>
      </c>
      <c r="AA31" s="7">
        <v>5</v>
      </c>
      <c r="AB31" s="7">
        <f t="shared" si="0"/>
        <v>45</v>
      </c>
      <c r="AC31" s="9" t="s">
        <v>4</v>
      </c>
      <c r="AD31" s="4" t="s">
        <v>66</v>
      </c>
    </row>
    <row r="32" spans="1:30" s="10" customFormat="1" ht="24.75" customHeight="1">
      <c r="A32" s="43">
        <v>71</v>
      </c>
      <c r="B32" s="32"/>
      <c r="C32" s="44"/>
      <c r="D32" s="45">
        <v>2016</v>
      </c>
      <c r="E32" s="44"/>
      <c r="F32" s="55" t="s">
        <v>47</v>
      </c>
      <c r="G32" s="7">
        <v>12</v>
      </c>
      <c r="H32" s="7" t="s">
        <v>1</v>
      </c>
      <c r="I32" s="8">
        <v>3.42</v>
      </c>
      <c r="J32" s="7" t="s">
        <v>4</v>
      </c>
      <c r="K32" s="13" t="s">
        <v>66</v>
      </c>
      <c r="L32" s="2">
        <v>16.8</v>
      </c>
      <c r="M32" s="2">
        <f>0.526*1000</f>
        <v>526</v>
      </c>
      <c r="N32" s="2">
        <v>41</v>
      </c>
      <c r="O32" s="2">
        <v>4.74</v>
      </c>
      <c r="P32" s="2">
        <v>50</v>
      </c>
      <c r="Q32" s="25">
        <v>7.11</v>
      </c>
      <c r="R32" s="25"/>
      <c r="S32" s="2">
        <v>0.07</v>
      </c>
      <c r="T32" s="4" t="s">
        <v>66</v>
      </c>
      <c r="U32" s="7">
        <v>10</v>
      </c>
      <c r="V32" s="7">
        <v>10</v>
      </c>
      <c r="W32" s="7">
        <v>10</v>
      </c>
      <c r="X32" s="7">
        <v>0</v>
      </c>
      <c r="Y32" s="7">
        <v>0</v>
      </c>
      <c r="Z32" s="7">
        <v>0</v>
      </c>
      <c r="AA32" s="7">
        <v>5</v>
      </c>
      <c r="AB32" s="7">
        <f t="shared" si="0"/>
        <v>35</v>
      </c>
      <c r="AC32" s="9" t="s">
        <v>4</v>
      </c>
      <c r="AD32" s="4" t="s">
        <v>66</v>
      </c>
    </row>
    <row r="33" spans="1:30" s="53" customFormat="1" ht="24.75" customHeight="1">
      <c r="A33" s="43">
        <v>71</v>
      </c>
      <c r="B33" s="32"/>
      <c r="C33" s="44"/>
      <c r="D33" s="45">
        <v>2017</v>
      </c>
      <c r="E33" s="44"/>
      <c r="F33" s="55" t="s">
        <v>47</v>
      </c>
      <c r="G33" s="32">
        <v>11</v>
      </c>
      <c r="H33" s="32" t="s">
        <v>1</v>
      </c>
      <c r="I33" s="33">
        <v>3.42</v>
      </c>
      <c r="J33" s="32" t="s">
        <v>4</v>
      </c>
      <c r="K33" s="51" t="s">
        <v>66</v>
      </c>
      <c r="L33" s="32">
        <v>18.3</v>
      </c>
      <c r="M33" s="32">
        <f>1.13*1000</f>
        <v>1130</v>
      </c>
      <c r="N33" s="32">
        <v>13</v>
      </c>
      <c r="O33" s="32">
        <v>1.3</v>
      </c>
      <c r="P33" s="32">
        <v>14</v>
      </c>
      <c r="Q33" s="33">
        <v>7.47</v>
      </c>
      <c r="R33" s="33"/>
      <c r="S33" s="32">
        <v>0.04</v>
      </c>
      <c r="T33" s="51" t="s">
        <v>46</v>
      </c>
      <c r="U33" s="32">
        <v>5</v>
      </c>
      <c r="V33" s="32">
        <v>10</v>
      </c>
      <c r="W33" s="32">
        <v>10</v>
      </c>
      <c r="X33" s="32">
        <v>0</v>
      </c>
      <c r="Y33" s="32">
        <v>0</v>
      </c>
      <c r="Z33" s="32">
        <v>0</v>
      </c>
      <c r="AA33" s="32">
        <v>5</v>
      </c>
      <c r="AB33" s="32">
        <f t="shared" si="0"/>
        <v>30</v>
      </c>
      <c r="AC33" s="52" t="s">
        <v>4</v>
      </c>
      <c r="AD33" s="51" t="s">
        <v>66</v>
      </c>
    </row>
    <row r="34" spans="1:30" s="10" customFormat="1" ht="24.75" customHeight="1">
      <c r="A34" s="43">
        <v>71</v>
      </c>
      <c r="B34" s="32"/>
      <c r="C34" s="44"/>
      <c r="D34" s="45">
        <v>2018</v>
      </c>
      <c r="E34" s="44"/>
      <c r="F34" s="55" t="s">
        <v>47</v>
      </c>
      <c r="G34" s="32">
        <v>15</v>
      </c>
      <c r="H34" s="32" t="s">
        <v>1</v>
      </c>
      <c r="I34" s="33">
        <v>3.06</v>
      </c>
      <c r="J34" s="32" t="s">
        <v>4</v>
      </c>
      <c r="K34" s="51" t="s">
        <v>66</v>
      </c>
      <c r="L34" s="32">
        <v>20.2</v>
      </c>
      <c r="M34" s="32">
        <f>0.501*1000</f>
        <v>501</v>
      </c>
      <c r="N34" s="32">
        <v>28</v>
      </c>
      <c r="O34" s="32">
        <v>4.52</v>
      </c>
      <c r="P34" s="32">
        <v>50</v>
      </c>
      <c r="Q34" s="33">
        <v>6.84</v>
      </c>
      <c r="R34" s="33"/>
      <c r="S34" s="32">
        <v>0.11</v>
      </c>
      <c r="T34" s="51" t="s">
        <v>40</v>
      </c>
      <c r="U34" s="32">
        <v>5</v>
      </c>
      <c r="V34" s="32">
        <v>10</v>
      </c>
      <c r="W34" s="32">
        <v>10</v>
      </c>
      <c r="X34" s="32">
        <v>0</v>
      </c>
      <c r="Y34" s="32">
        <v>0</v>
      </c>
      <c r="Z34" s="32">
        <v>0</v>
      </c>
      <c r="AA34" s="32">
        <v>5</v>
      </c>
      <c r="AB34" s="32">
        <f t="shared" si="0"/>
        <v>30</v>
      </c>
      <c r="AC34" s="52" t="s">
        <v>68</v>
      </c>
      <c r="AD34" s="51" t="s">
        <v>66</v>
      </c>
    </row>
    <row r="35" spans="1:30" s="10" customFormat="1" ht="24.75" customHeight="1">
      <c r="A35" s="3">
        <v>71</v>
      </c>
      <c r="B35" s="7"/>
      <c r="C35" s="5"/>
      <c r="D35" s="6">
        <v>2019</v>
      </c>
      <c r="E35" s="5"/>
      <c r="F35" s="55" t="s">
        <v>47</v>
      </c>
      <c r="G35" s="7">
        <v>12</v>
      </c>
      <c r="H35" s="7" t="s">
        <v>1</v>
      </c>
      <c r="I35" s="8">
        <v>3.2</v>
      </c>
      <c r="J35" s="7" t="s">
        <v>4</v>
      </c>
      <c r="K35" s="4" t="s">
        <v>66</v>
      </c>
      <c r="L35" s="7">
        <v>15.1</v>
      </c>
      <c r="M35" s="7">
        <f>0.811*1000</f>
        <v>811</v>
      </c>
      <c r="N35" s="7">
        <v>15</v>
      </c>
      <c r="O35" s="7">
        <v>1.4</v>
      </c>
      <c r="P35" s="7">
        <v>12</v>
      </c>
      <c r="Q35" s="8">
        <v>6.93</v>
      </c>
      <c r="R35" s="8"/>
      <c r="S35" s="7">
        <v>0.08</v>
      </c>
      <c r="T35" s="4" t="s">
        <v>46</v>
      </c>
      <c r="U35" s="7">
        <v>5</v>
      </c>
      <c r="V35" s="7">
        <v>10</v>
      </c>
      <c r="W35" s="7">
        <v>10</v>
      </c>
      <c r="X35" s="7">
        <v>0</v>
      </c>
      <c r="Y35" s="7">
        <v>0</v>
      </c>
      <c r="Z35" s="7">
        <v>0</v>
      </c>
      <c r="AA35" s="7">
        <v>5</v>
      </c>
      <c r="AB35" s="7">
        <f t="shared" si="0"/>
        <v>30</v>
      </c>
      <c r="AC35" s="9" t="s">
        <v>68</v>
      </c>
      <c r="AD35" s="4" t="s">
        <v>66</v>
      </c>
    </row>
    <row r="36" spans="1:30" s="53" customFormat="1" ht="24.75" customHeight="1">
      <c r="A36" s="43">
        <v>71</v>
      </c>
      <c r="B36" s="32"/>
      <c r="C36" s="44"/>
      <c r="D36" s="45">
        <v>2020</v>
      </c>
      <c r="E36" s="44"/>
      <c r="F36" s="55" t="s">
        <v>47</v>
      </c>
      <c r="G36" s="32">
        <v>15</v>
      </c>
      <c r="H36" s="32" t="s">
        <v>1</v>
      </c>
      <c r="I36" s="33">
        <v>3.13</v>
      </c>
      <c r="J36" s="32" t="s">
        <v>4</v>
      </c>
      <c r="K36" s="51" t="s">
        <v>66</v>
      </c>
      <c r="L36" s="32">
        <v>14</v>
      </c>
      <c r="M36" s="32">
        <f>0.821*1000</f>
        <v>821</v>
      </c>
      <c r="N36" s="32">
        <v>2</v>
      </c>
      <c r="O36" s="32">
        <v>5.2</v>
      </c>
      <c r="P36" s="45">
        <v>51.5</v>
      </c>
      <c r="Q36" s="33">
        <v>7.68</v>
      </c>
      <c r="R36" s="33"/>
      <c r="S36" s="32">
        <v>0.07</v>
      </c>
      <c r="T36" s="51" t="s">
        <v>39</v>
      </c>
      <c r="U36" s="32">
        <v>5</v>
      </c>
      <c r="V36" s="32">
        <v>10</v>
      </c>
      <c r="W36" s="32">
        <v>10</v>
      </c>
      <c r="X36" s="32">
        <v>5</v>
      </c>
      <c r="Y36" s="32">
        <v>0</v>
      </c>
      <c r="Z36" s="32">
        <v>0</v>
      </c>
      <c r="AA36" s="32">
        <v>5</v>
      </c>
      <c r="AB36" s="32">
        <f t="shared" si="0"/>
        <v>35</v>
      </c>
      <c r="AC36" s="52" t="s">
        <v>4</v>
      </c>
      <c r="AD36" s="51" t="s">
        <v>66</v>
      </c>
    </row>
    <row r="37" spans="1:30" s="53" customFormat="1" ht="24.75" customHeight="1">
      <c r="A37" s="43">
        <v>71</v>
      </c>
      <c r="B37" s="32"/>
      <c r="C37" s="44"/>
      <c r="D37" s="45">
        <v>2021</v>
      </c>
      <c r="E37" s="44"/>
      <c r="F37" s="55" t="s">
        <v>47</v>
      </c>
      <c r="G37" s="32">
        <v>11</v>
      </c>
      <c r="H37" s="32" t="s">
        <v>1</v>
      </c>
      <c r="I37" s="33">
        <v>3.13</v>
      </c>
      <c r="J37" s="32" t="s">
        <v>4</v>
      </c>
      <c r="K37" s="51" t="s">
        <v>66</v>
      </c>
      <c r="L37" s="32">
        <v>19.1</v>
      </c>
      <c r="M37" s="32">
        <v>591</v>
      </c>
      <c r="N37" s="32">
        <v>2.58</v>
      </c>
      <c r="O37" s="32">
        <v>5.2</v>
      </c>
      <c r="P37" s="45">
        <v>56</v>
      </c>
      <c r="Q37" s="33">
        <v>7.47</v>
      </c>
      <c r="R37" s="33">
        <v>291.7</v>
      </c>
      <c r="S37" s="32">
        <v>0.12</v>
      </c>
      <c r="T37" s="51" t="s">
        <v>39</v>
      </c>
      <c r="U37" s="32">
        <v>5</v>
      </c>
      <c r="V37" s="32">
        <v>10</v>
      </c>
      <c r="W37" s="32">
        <v>10</v>
      </c>
      <c r="X37" s="32">
        <v>5</v>
      </c>
      <c r="Y37" s="32">
        <v>0</v>
      </c>
      <c r="Z37" s="32">
        <v>0</v>
      </c>
      <c r="AA37" s="32">
        <v>5</v>
      </c>
      <c r="AB37" s="32">
        <f t="shared" si="0"/>
        <v>35</v>
      </c>
      <c r="AC37" s="52" t="s">
        <v>4</v>
      </c>
      <c r="AD37" s="51" t="s">
        <v>66</v>
      </c>
    </row>
    <row r="38" spans="1:30" s="10" customFormat="1" ht="24.75" customHeight="1">
      <c r="A38" s="3">
        <v>68</v>
      </c>
      <c r="B38" s="7" t="s">
        <v>25</v>
      </c>
      <c r="C38" s="5" t="s">
        <v>24</v>
      </c>
      <c r="D38" s="6">
        <v>2011</v>
      </c>
      <c r="E38" s="5" t="s">
        <v>5</v>
      </c>
      <c r="F38" s="55" t="s">
        <v>40</v>
      </c>
      <c r="G38" s="7">
        <v>17</v>
      </c>
      <c r="H38" s="7" t="s">
        <v>6</v>
      </c>
      <c r="I38" s="8">
        <v>4.32</v>
      </c>
      <c r="J38" s="7" t="s">
        <v>7</v>
      </c>
      <c r="K38" s="13" t="s">
        <v>40</v>
      </c>
      <c r="L38" s="2">
        <v>15.5</v>
      </c>
      <c r="M38" s="2">
        <v>203</v>
      </c>
      <c r="N38" s="2">
        <v>28</v>
      </c>
      <c r="O38" s="2">
        <v>6.32</v>
      </c>
      <c r="P38" s="2">
        <v>88</v>
      </c>
      <c r="Q38" s="25">
        <v>6</v>
      </c>
      <c r="R38" s="25"/>
      <c r="S38" s="2">
        <v>0.01</v>
      </c>
      <c r="T38" s="4" t="s">
        <v>39</v>
      </c>
      <c r="U38" s="7">
        <v>10</v>
      </c>
      <c r="V38" s="7">
        <v>10</v>
      </c>
      <c r="W38" s="7">
        <v>10</v>
      </c>
      <c r="X38" s="7">
        <v>5</v>
      </c>
      <c r="Y38" s="7">
        <v>5</v>
      </c>
      <c r="Z38" s="7">
        <v>20</v>
      </c>
      <c r="AA38" s="7">
        <v>10</v>
      </c>
      <c r="AB38" s="7">
        <f t="shared" si="0"/>
        <v>70</v>
      </c>
      <c r="AC38" s="9" t="s">
        <v>7</v>
      </c>
      <c r="AD38" s="4" t="s">
        <v>40</v>
      </c>
    </row>
    <row r="39" spans="1:30" s="10" customFormat="1" ht="24.75" customHeight="1">
      <c r="A39" s="3">
        <v>68</v>
      </c>
      <c r="B39" s="7"/>
      <c r="C39" s="5"/>
      <c r="D39" s="6">
        <v>2012</v>
      </c>
      <c r="E39" s="5"/>
      <c r="F39" s="55" t="s">
        <v>66</v>
      </c>
      <c r="G39" s="7">
        <v>12</v>
      </c>
      <c r="H39" s="7" t="s">
        <v>1</v>
      </c>
      <c r="I39" s="8">
        <v>4.5</v>
      </c>
      <c r="J39" s="7" t="s">
        <v>7</v>
      </c>
      <c r="K39" s="13" t="s">
        <v>40</v>
      </c>
      <c r="L39" s="2">
        <v>14.7</v>
      </c>
      <c r="M39" s="2">
        <v>515</v>
      </c>
      <c r="N39" s="2">
        <v>7</v>
      </c>
      <c r="O39" s="2">
        <v>1.41</v>
      </c>
      <c r="P39" s="2">
        <v>32</v>
      </c>
      <c r="Q39" s="25">
        <v>6.67</v>
      </c>
      <c r="R39" s="25"/>
      <c r="S39" s="2">
        <v>0.04</v>
      </c>
      <c r="T39" s="4" t="s">
        <v>40</v>
      </c>
      <c r="U39" s="7">
        <v>10</v>
      </c>
      <c r="V39" s="7">
        <v>10</v>
      </c>
      <c r="W39" s="7">
        <v>5</v>
      </c>
      <c r="X39" s="7">
        <v>10</v>
      </c>
      <c r="Y39" s="7">
        <v>5</v>
      </c>
      <c r="Z39" s="7">
        <v>10</v>
      </c>
      <c r="AA39" s="7">
        <v>5</v>
      </c>
      <c r="AB39" s="7">
        <f t="shared" si="0"/>
        <v>55</v>
      </c>
      <c r="AC39" s="9" t="s">
        <v>7</v>
      </c>
      <c r="AD39" s="4" t="s">
        <v>40</v>
      </c>
    </row>
    <row r="40" spans="1:30" s="10" customFormat="1" ht="24.75" customHeight="1">
      <c r="A40" s="3">
        <v>68</v>
      </c>
      <c r="B40" s="7"/>
      <c r="C40" s="5"/>
      <c r="D40" s="6">
        <v>2013</v>
      </c>
      <c r="E40" s="5"/>
      <c r="F40" s="55" t="s">
        <v>66</v>
      </c>
      <c r="G40" s="7">
        <v>16</v>
      </c>
      <c r="H40" s="7" t="s">
        <v>6</v>
      </c>
      <c r="I40" s="8">
        <v>4.1</v>
      </c>
      <c r="J40" s="7" t="s">
        <v>7</v>
      </c>
      <c r="K40" s="13" t="s">
        <v>40</v>
      </c>
      <c r="L40" s="2">
        <v>16.6</v>
      </c>
      <c r="M40" s="2">
        <f>0.472*1000</f>
        <v>472</v>
      </c>
      <c r="N40" s="2">
        <v>14</v>
      </c>
      <c r="O40" s="2">
        <v>3.74</v>
      </c>
      <c r="P40" s="2">
        <v>66</v>
      </c>
      <c r="Q40" s="25">
        <v>7.2</v>
      </c>
      <c r="R40" s="25"/>
      <c r="S40" s="2">
        <v>0.09</v>
      </c>
      <c r="T40" s="4" t="s">
        <v>39</v>
      </c>
      <c r="U40" s="7">
        <v>10</v>
      </c>
      <c r="V40" s="7">
        <v>10</v>
      </c>
      <c r="W40" s="7">
        <v>5</v>
      </c>
      <c r="X40" s="7">
        <v>5</v>
      </c>
      <c r="Y40" s="7">
        <v>5</v>
      </c>
      <c r="Z40" s="7">
        <v>10</v>
      </c>
      <c r="AA40" s="7">
        <v>5</v>
      </c>
      <c r="AB40" s="7">
        <f t="shared" si="0"/>
        <v>50</v>
      </c>
      <c r="AC40" s="9" t="s">
        <v>4</v>
      </c>
      <c r="AD40" s="4" t="s">
        <v>66</v>
      </c>
    </row>
    <row r="41" spans="1:30" s="10" customFormat="1" ht="24.75" customHeight="1">
      <c r="A41" s="3">
        <v>68</v>
      </c>
      <c r="B41" s="7"/>
      <c r="C41" s="5"/>
      <c r="D41" s="6">
        <v>2014</v>
      </c>
      <c r="E41" s="5"/>
      <c r="F41" s="55" t="s">
        <v>47</v>
      </c>
      <c r="G41" s="7">
        <v>16</v>
      </c>
      <c r="H41" s="7" t="s">
        <v>6</v>
      </c>
      <c r="I41" s="8">
        <v>2.98</v>
      </c>
      <c r="J41" s="7" t="s">
        <v>2</v>
      </c>
      <c r="K41" s="13" t="s">
        <v>47</v>
      </c>
      <c r="L41" s="2">
        <v>13.5</v>
      </c>
      <c r="M41" s="2">
        <f>0.372*1000</f>
        <v>372</v>
      </c>
      <c r="N41" s="2">
        <v>26</v>
      </c>
      <c r="O41" s="2">
        <v>0.29</v>
      </c>
      <c r="P41" s="2">
        <v>5</v>
      </c>
      <c r="Q41" s="25">
        <v>6.49</v>
      </c>
      <c r="R41" s="25"/>
      <c r="S41" s="2">
        <v>0.14</v>
      </c>
      <c r="T41" s="4" t="s">
        <v>47</v>
      </c>
      <c r="U41" s="7">
        <v>10</v>
      </c>
      <c r="V41" s="7">
        <v>10</v>
      </c>
      <c r="W41" s="7">
        <v>10</v>
      </c>
      <c r="X41" s="7">
        <v>5</v>
      </c>
      <c r="Y41" s="7">
        <v>5</v>
      </c>
      <c r="Z41" s="7">
        <v>10</v>
      </c>
      <c r="AA41" s="7">
        <v>5</v>
      </c>
      <c r="AB41" s="7">
        <f t="shared" si="0"/>
        <v>55</v>
      </c>
      <c r="AC41" s="9" t="s">
        <v>7</v>
      </c>
      <c r="AD41" s="4" t="s">
        <v>40</v>
      </c>
    </row>
    <row r="42" spans="1:30" s="10" customFormat="1" ht="24.75" customHeight="1">
      <c r="A42" s="3">
        <v>68</v>
      </c>
      <c r="B42" s="7"/>
      <c r="C42" s="5"/>
      <c r="D42" s="6">
        <v>2015</v>
      </c>
      <c r="E42" s="5"/>
      <c r="F42" s="55" t="s">
        <v>66</v>
      </c>
      <c r="G42" s="7">
        <v>19</v>
      </c>
      <c r="H42" s="7" t="s">
        <v>6</v>
      </c>
      <c r="I42" s="8">
        <v>3.56</v>
      </c>
      <c r="J42" s="7" t="s">
        <v>4</v>
      </c>
      <c r="K42" s="13" t="s">
        <v>66</v>
      </c>
      <c r="L42" s="2">
        <v>18.2</v>
      </c>
      <c r="M42" s="2">
        <f>0.442*1000</f>
        <v>442</v>
      </c>
      <c r="N42" s="2">
        <v>3</v>
      </c>
      <c r="O42" s="2">
        <v>2.77</v>
      </c>
      <c r="P42" s="2">
        <v>32</v>
      </c>
      <c r="Q42" s="2">
        <v>7.11</v>
      </c>
      <c r="R42" s="2"/>
      <c r="S42" s="2">
        <v>0.07</v>
      </c>
      <c r="T42" s="4" t="s">
        <v>40</v>
      </c>
      <c r="U42" s="7">
        <v>10</v>
      </c>
      <c r="V42" s="7">
        <v>10</v>
      </c>
      <c r="W42" s="7">
        <v>10</v>
      </c>
      <c r="X42" s="7">
        <v>0</v>
      </c>
      <c r="Y42" s="7">
        <v>5</v>
      </c>
      <c r="Z42" s="7">
        <v>10</v>
      </c>
      <c r="AA42" s="7">
        <v>5</v>
      </c>
      <c r="AB42" s="7">
        <f t="shared" si="0"/>
        <v>50</v>
      </c>
      <c r="AC42" s="9" t="s">
        <v>4</v>
      </c>
      <c r="AD42" s="4" t="s">
        <v>66</v>
      </c>
    </row>
    <row r="43" spans="1:30" s="10" customFormat="1" ht="24.75" customHeight="1">
      <c r="A43" s="43">
        <v>68</v>
      </c>
      <c r="B43" s="32"/>
      <c r="C43" s="44"/>
      <c r="D43" s="45">
        <v>2016</v>
      </c>
      <c r="E43" s="44"/>
      <c r="F43" s="55" t="s">
        <v>47</v>
      </c>
      <c r="G43" s="7">
        <v>22</v>
      </c>
      <c r="H43" s="7" t="s">
        <v>6</v>
      </c>
      <c r="I43" s="8">
        <v>3.88</v>
      </c>
      <c r="J43" s="7" t="s">
        <v>4</v>
      </c>
      <c r="K43" s="13" t="s">
        <v>66</v>
      </c>
      <c r="L43" s="2">
        <v>13.8</v>
      </c>
      <c r="M43" s="2">
        <f>2.09*1000</f>
        <v>2090</v>
      </c>
      <c r="N43" s="2">
        <v>4</v>
      </c>
      <c r="O43" s="2">
        <v>1.74</v>
      </c>
      <c r="P43" s="2">
        <v>12</v>
      </c>
      <c r="Q43" s="2">
        <v>7.78</v>
      </c>
      <c r="R43" s="2"/>
      <c r="S43" s="2">
        <v>0.03</v>
      </c>
      <c r="T43" s="4" t="s">
        <v>46</v>
      </c>
      <c r="U43" s="7">
        <v>10</v>
      </c>
      <c r="V43" s="7">
        <v>10</v>
      </c>
      <c r="W43" s="7">
        <v>10</v>
      </c>
      <c r="X43" s="7">
        <v>0</v>
      </c>
      <c r="Y43" s="7">
        <v>5</v>
      </c>
      <c r="Z43" s="7">
        <v>10</v>
      </c>
      <c r="AA43" s="7">
        <v>5</v>
      </c>
      <c r="AB43" s="7">
        <f t="shared" si="0"/>
        <v>50</v>
      </c>
      <c r="AC43" s="9" t="s">
        <v>4</v>
      </c>
      <c r="AD43" s="4" t="s">
        <v>66</v>
      </c>
    </row>
    <row r="44" spans="1:30" s="53" customFormat="1" ht="24.75" customHeight="1">
      <c r="A44" s="43">
        <v>68</v>
      </c>
      <c r="B44" s="32"/>
      <c r="C44" s="44"/>
      <c r="D44" s="45">
        <v>2017</v>
      </c>
      <c r="E44" s="44"/>
      <c r="F44" s="55" t="s">
        <v>46</v>
      </c>
      <c r="G44" s="32">
        <v>18</v>
      </c>
      <c r="H44" s="32" t="s">
        <v>6</v>
      </c>
      <c r="I44" s="33">
        <v>3.4</v>
      </c>
      <c r="J44" s="32" t="s">
        <v>4</v>
      </c>
      <c r="K44" s="51" t="s">
        <v>66</v>
      </c>
      <c r="L44" s="32">
        <v>14.4</v>
      </c>
      <c r="M44" s="32">
        <f>0.236*1000</f>
        <v>236</v>
      </c>
      <c r="N44" s="59">
        <v>350</v>
      </c>
      <c r="O44" s="32">
        <v>3.05</v>
      </c>
      <c r="P44" s="32">
        <v>30</v>
      </c>
      <c r="Q44" s="32">
        <v>6.51</v>
      </c>
      <c r="R44" s="32"/>
      <c r="S44" s="32">
        <v>0.04</v>
      </c>
      <c r="T44" s="51" t="s">
        <v>46</v>
      </c>
      <c r="U44" s="32">
        <v>10</v>
      </c>
      <c r="V44" s="32">
        <v>10</v>
      </c>
      <c r="W44" s="32">
        <v>10</v>
      </c>
      <c r="X44" s="32">
        <v>0</v>
      </c>
      <c r="Y44" s="32">
        <v>5</v>
      </c>
      <c r="Z44" s="32">
        <v>10</v>
      </c>
      <c r="AA44" s="32">
        <v>5</v>
      </c>
      <c r="AB44" s="32">
        <f t="shared" si="0"/>
        <v>50</v>
      </c>
      <c r="AC44" s="52" t="s">
        <v>4</v>
      </c>
      <c r="AD44" s="51" t="s">
        <v>66</v>
      </c>
    </row>
    <row r="45" spans="1:30" s="10" customFormat="1" ht="24.75" customHeight="1">
      <c r="A45" s="43">
        <v>68</v>
      </c>
      <c r="B45" s="32"/>
      <c r="C45" s="44"/>
      <c r="D45" s="45">
        <v>2018</v>
      </c>
      <c r="E45" s="44"/>
      <c r="F45" s="55" t="s">
        <v>66</v>
      </c>
      <c r="G45" s="7">
        <v>20</v>
      </c>
      <c r="H45" s="7" t="s">
        <v>6</v>
      </c>
      <c r="I45" s="8">
        <v>3.57</v>
      </c>
      <c r="J45" s="7" t="s">
        <v>4</v>
      </c>
      <c r="K45" s="13" t="s">
        <v>66</v>
      </c>
      <c r="L45" s="2">
        <v>14.3</v>
      </c>
      <c r="M45" s="2">
        <f>0.291*1000</f>
        <v>291</v>
      </c>
      <c r="N45" s="2">
        <v>9</v>
      </c>
      <c r="O45" s="2">
        <v>3.9</v>
      </c>
      <c r="P45" s="2">
        <v>39</v>
      </c>
      <c r="Q45" s="2">
        <v>6.25</v>
      </c>
      <c r="R45" s="2"/>
      <c r="S45" s="2">
        <v>0.07</v>
      </c>
      <c r="T45" s="4" t="s">
        <v>39</v>
      </c>
      <c r="U45" s="7">
        <v>10</v>
      </c>
      <c r="V45" s="7">
        <v>10</v>
      </c>
      <c r="W45" s="7">
        <v>10</v>
      </c>
      <c r="X45" s="7">
        <v>0</v>
      </c>
      <c r="Y45" s="7">
        <v>5</v>
      </c>
      <c r="Z45" s="7">
        <v>10</v>
      </c>
      <c r="AA45" s="7">
        <v>5</v>
      </c>
      <c r="AB45" s="7">
        <f t="shared" si="0"/>
        <v>50</v>
      </c>
      <c r="AC45" s="9" t="s">
        <v>4</v>
      </c>
      <c r="AD45" s="4" t="s">
        <v>66</v>
      </c>
    </row>
    <row r="46" spans="1:30" s="10" customFormat="1" ht="24.75" customHeight="1">
      <c r="A46" s="3">
        <v>68</v>
      </c>
      <c r="B46" s="7"/>
      <c r="C46" s="5"/>
      <c r="D46" s="6">
        <v>2019</v>
      </c>
      <c r="E46" s="5"/>
      <c r="F46" s="55" t="s">
        <v>66</v>
      </c>
      <c r="G46" s="7">
        <v>22</v>
      </c>
      <c r="H46" s="7" t="s">
        <v>6</v>
      </c>
      <c r="I46" s="8">
        <v>3.47</v>
      </c>
      <c r="J46" s="7" t="s">
        <v>4</v>
      </c>
      <c r="K46" s="4" t="s">
        <v>66</v>
      </c>
      <c r="L46" s="7">
        <v>13.6</v>
      </c>
      <c r="M46" s="7">
        <f>0.221*1000</f>
        <v>221</v>
      </c>
      <c r="N46" s="7">
        <v>5</v>
      </c>
      <c r="O46" s="7">
        <v>1.89</v>
      </c>
      <c r="P46" s="7">
        <v>18</v>
      </c>
      <c r="Q46" s="7">
        <v>6.44</v>
      </c>
      <c r="R46" s="7"/>
      <c r="S46" s="7">
        <v>0.13</v>
      </c>
      <c r="T46" s="4" t="s">
        <v>39</v>
      </c>
      <c r="U46" s="7">
        <v>10</v>
      </c>
      <c r="V46" s="7">
        <v>10</v>
      </c>
      <c r="W46" s="7">
        <v>10</v>
      </c>
      <c r="X46" s="7">
        <v>0</v>
      </c>
      <c r="Y46" s="7">
        <v>5</v>
      </c>
      <c r="Z46" s="7">
        <v>10</v>
      </c>
      <c r="AA46" s="7">
        <v>5</v>
      </c>
      <c r="AB46" s="7">
        <f t="shared" si="0"/>
        <v>50</v>
      </c>
      <c r="AC46" s="9" t="s">
        <v>68</v>
      </c>
      <c r="AD46" s="4" t="s">
        <v>66</v>
      </c>
    </row>
    <row r="47" spans="1:30" s="53" customFormat="1" ht="24.75" customHeight="1">
      <c r="A47" s="43">
        <v>68</v>
      </c>
      <c r="B47" s="32"/>
      <c r="C47" s="44"/>
      <c r="D47" s="45">
        <v>2020</v>
      </c>
      <c r="E47" s="44"/>
      <c r="F47" s="55" t="s">
        <v>47</v>
      </c>
      <c r="G47" s="32">
        <v>17</v>
      </c>
      <c r="H47" s="32" t="s">
        <v>6</v>
      </c>
      <c r="I47" s="33">
        <v>3.34</v>
      </c>
      <c r="J47" s="32" t="s">
        <v>4</v>
      </c>
      <c r="K47" s="51" t="s">
        <v>66</v>
      </c>
      <c r="L47" s="32">
        <v>11.7</v>
      </c>
      <c r="M47" s="32">
        <f>0.371*1000</f>
        <v>371</v>
      </c>
      <c r="N47" s="32">
        <v>52</v>
      </c>
      <c r="O47" s="32">
        <v>2.9</v>
      </c>
      <c r="P47" s="32">
        <v>26</v>
      </c>
      <c r="Q47" s="32">
        <v>6.52</v>
      </c>
      <c r="R47" s="32"/>
      <c r="S47" s="32">
        <v>0.02</v>
      </c>
      <c r="T47" s="51" t="s">
        <v>46</v>
      </c>
      <c r="U47" s="32">
        <v>10</v>
      </c>
      <c r="V47" s="32">
        <v>10</v>
      </c>
      <c r="W47" s="32">
        <v>10</v>
      </c>
      <c r="X47" s="32">
        <v>0</v>
      </c>
      <c r="Y47" s="32">
        <v>5</v>
      </c>
      <c r="Z47" s="32">
        <v>10</v>
      </c>
      <c r="AA47" s="32">
        <v>5</v>
      </c>
      <c r="AB47" s="32">
        <f t="shared" si="0"/>
        <v>50</v>
      </c>
      <c r="AC47" s="52" t="s">
        <v>4</v>
      </c>
      <c r="AD47" s="51" t="s">
        <v>66</v>
      </c>
    </row>
    <row r="48" spans="1:30" s="53" customFormat="1" ht="24.75" customHeight="1">
      <c r="A48" s="43">
        <v>68</v>
      </c>
      <c r="B48" s="32"/>
      <c r="C48" s="44"/>
      <c r="D48" s="45">
        <v>2021</v>
      </c>
      <c r="E48" s="44"/>
      <c r="F48" s="55" t="s">
        <v>66</v>
      </c>
      <c r="G48" s="32">
        <v>20</v>
      </c>
      <c r="H48" s="32" t="s">
        <v>6</v>
      </c>
      <c r="I48" s="33">
        <v>3.08</v>
      </c>
      <c r="J48" s="32" t="s">
        <v>4</v>
      </c>
      <c r="K48" s="51" t="s">
        <v>66</v>
      </c>
      <c r="L48" s="32">
        <v>16.3</v>
      </c>
      <c r="M48" s="32">
        <v>293</v>
      </c>
      <c r="N48" s="32">
        <v>8.74</v>
      </c>
      <c r="O48" s="32">
        <v>2.86</v>
      </c>
      <c r="P48" s="32">
        <v>31.6</v>
      </c>
      <c r="Q48" s="32">
        <v>7.21</v>
      </c>
      <c r="R48" s="32">
        <v>258.9</v>
      </c>
      <c r="S48" s="32">
        <v>0.07</v>
      </c>
      <c r="T48" s="51" t="s">
        <v>39</v>
      </c>
      <c r="U48" s="32">
        <v>10</v>
      </c>
      <c r="V48" s="32">
        <v>10</v>
      </c>
      <c r="W48" s="32">
        <v>10</v>
      </c>
      <c r="X48" s="32">
        <v>0</v>
      </c>
      <c r="Y48" s="32">
        <v>10</v>
      </c>
      <c r="Z48" s="32">
        <v>10</v>
      </c>
      <c r="AA48" s="32">
        <v>5</v>
      </c>
      <c r="AB48" s="32">
        <f t="shared" si="0"/>
        <v>55</v>
      </c>
      <c r="AC48" s="52" t="s">
        <v>7</v>
      </c>
      <c r="AD48" s="51" t="s">
        <v>40</v>
      </c>
    </row>
    <row r="49" spans="1:30" s="10" customFormat="1" ht="24.75" customHeight="1">
      <c r="A49" s="3">
        <v>73</v>
      </c>
      <c r="B49" s="5" t="s">
        <v>26</v>
      </c>
      <c r="C49" s="5" t="s">
        <v>72</v>
      </c>
      <c r="D49" s="11">
        <v>2014</v>
      </c>
      <c r="E49" s="5" t="s">
        <v>10</v>
      </c>
      <c r="F49" s="55" t="s">
        <v>47</v>
      </c>
      <c r="G49" s="7">
        <v>13</v>
      </c>
      <c r="H49" s="7" t="s">
        <v>1</v>
      </c>
      <c r="I49" s="8">
        <v>2.72</v>
      </c>
      <c r="J49" s="7" t="s">
        <v>2</v>
      </c>
      <c r="K49" s="13" t="s">
        <v>47</v>
      </c>
      <c r="L49" s="2">
        <v>14.1</v>
      </c>
      <c r="M49" s="2">
        <f>0.32*1000</f>
        <v>320</v>
      </c>
      <c r="N49" s="2">
        <v>63</v>
      </c>
      <c r="O49" s="2">
        <v>5.77</v>
      </c>
      <c r="P49" s="2">
        <v>58</v>
      </c>
      <c r="Q49" s="2">
        <v>6.46</v>
      </c>
      <c r="R49" s="2"/>
      <c r="S49" s="2">
        <v>0.01</v>
      </c>
      <c r="T49" s="4" t="s">
        <v>66</v>
      </c>
      <c r="U49" s="7">
        <v>10</v>
      </c>
      <c r="V49" s="7">
        <v>10</v>
      </c>
      <c r="W49" s="7">
        <v>5</v>
      </c>
      <c r="X49" s="7">
        <v>0</v>
      </c>
      <c r="Y49" s="7">
        <v>5</v>
      </c>
      <c r="Z49" s="7">
        <v>0</v>
      </c>
      <c r="AA49" s="7">
        <v>5</v>
      </c>
      <c r="AB49" s="7">
        <f t="shared" si="0"/>
        <v>35</v>
      </c>
      <c r="AC49" s="9" t="s">
        <v>4</v>
      </c>
      <c r="AD49" s="4" t="s">
        <v>66</v>
      </c>
    </row>
    <row r="50" spans="1:30" s="10" customFormat="1" ht="24.75" customHeight="1">
      <c r="A50" s="3">
        <v>73</v>
      </c>
      <c r="B50" s="5"/>
      <c r="C50" s="5"/>
      <c r="D50" s="11">
        <v>2015</v>
      </c>
      <c r="E50" s="28"/>
      <c r="F50" s="55" t="s">
        <v>47</v>
      </c>
      <c r="G50" s="7">
        <v>15</v>
      </c>
      <c r="H50" s="7" t="s">
        <v>1</v>
      </c>
      <c r="I50" s="8">
        <v>3.25</v>
      </c>
      <c r="J50" s="7" t="s">
        <v>4</v>
      </c>
      <c r="K50" s="4" t="s">
        <v>66</v>
      </c>
      <c r="L50" s="7">
        <v>17.3</v>
      </c>
      <c r="M50" s="7">
        <f>0.654*1000</f>
        <v>654</v>
      </c>
      <c r="N50" s="7">
        <v>10</v>
      </c>
      <c r="O50" s="7">
        <v>2.27</v>
      </c>
      <c r="P50" s="7">
        <v>24</v>
      </c>
      <c r="Q50" s="7">
        <v>7.11</v>
      </c>
      <c r="R50" s="7"/>
      <c r="S50" s="7">
        <v>0.02</v>
      </c>
      <c r="T50" s="4" t="s">
        <v>47</v>
      </c>
      <c r="U50" s="7">
        <v>10</v>
      </c>
      <c r="V50" s="7">
        <v>10</v>
      </c>
      <c r="W50" s="7">
        <v>10</v>
      </c>
      <c r="X50" s="7">
        <v>0</v>
      </c>
      <c r="Y50" s="7">
        <v>5</v>
      </c>
      <c r="Z50" s="7">
        <v>0</v>
      </c>
      <c r="AA50" s="7">
        <v>5</v>
      </c>
      <c r="AB50" s="7">
        <f t="shared" si="0"/>
        <v>40</v>
      </c>
      <c r="AC50" s="9" t="s">
        <v>4</v>
      </c>
      <c r="AD50" s="4" t="s">
        <v>66</v>
      </c>
    </row>
    <row r="51" spans="1:30" s="10" customFormat="1" ht="24.75" customHeight="1">
      <c r="A51" s="43">
        <v>73</v>
      </c>
      <c r="B51" s="44"/>
      <c r="C51" s="44"/>
      <c r="D51" s="46">
        <v>2016</v>
      </c>
      <c r="E51" s="48"/>
      <c r="F51" s="55" t="s">
        <v>47</v>
      </c>
      <c r="G51" s="32">
        <v>16</v>
      </c>
      <c r="H51" s="32" t="s">
        <v>6</v>
      </c>
      <c r="I51" s="33">
        <v>4.04</v>
      </c>
      <c r="J51" s="32" t="s">
        <v>7</v>
      </c>
      <c r="K51" s="51" t="s">
        <v>40</v>
      </c>
      <c r="L51" s="32">
        <v>13.5</v>
      </c>
      <c r="M51" s="32">
        <f>0.411*1000</f>
        <v>411</v>
      </c>
      <c r="N51" s="32">
        <v>18</v>
      </c>
      <c r="O51" s="32">
        <v>1.92</v>
      </c>
      <c r="P51" s="32">
        <v>18</v>
      </c>
      <c r="Q51" s="32">
        <v>6.91</v>
      </c>
      <c r="R51" s="32"/>
      <c r="S51" s="32">
        <v>0.01</v>
      </c>
      <c r="T51" s="51" t="s">
        <v>66</v>
      </c>
      <c r="U51" s="32">
        <v>10</v>
      </c>
      <c r="V51" s="32">
        <v>10</v>
      </c>
      <c r="W51" s="32">
        <v>10</v>
      </c>
      <c r="X51" s="32">
        <v>0</v>
      </c>
      <c r="Y51" s="32">
        <v>5</v>
      </c>
      <c r="Z51" s="32">
        <v>0</v>
      </c>
      <c r="AA51" s="32">
        <v>5</v>
      </c>
      <c r="AB51" s="32">
        <f t="shared" si="0"/>
        <v>40</v>
      </c>
      <c r="AC51" s="52" t="s">
        <v>4</v>
      </c>
      <c r="AD51" s="51" t="s">
        <v>66</v>
      </c>
    </row>
    <row r="52" spans="1:30" s="10" customFormat="1" ht="24.75" customHeight="1">
      <c r="A52" s="43">
        <v>73</v>
      </c>
      <c r="B52" s="44"/>
      <c r="C52" s="44"/>
      <c r="D52" s="46">
        <v>2017</v>
      </c>
      <c r="E52" s="48"/>
      <c r="F52" s="55" t="s">
        <v>47</v>
      </c>
      <c r="G52" s="32">
        <v>10</v>
      </c>
      <c r="H52" s="32" t="s">
        <v>1</v>
      </c>
      <c r="I52" s="33">
        <v>3.5</v>
      </c>
      <c r="J52" s="32" t="s">
        <v>4</v>
      </c>
      <c r="K52" s="51" t="s">
        <v>66</v>
      </c>
      <c r="L52" s="32">
        <v>15.4</v>
      </c>
      <c r="M52" s="32">
        <f>0.329*1000</f>
        <v>329</v>
      </c>
      <c r="N52" s="32">
        <v>88</v>
      </c>
      <c r="O52" s="32">
        <v>6.1</v>
      </c>
      <c r="P52" s="32">
        <v>60</v>
      </c>
      <c r="Q52" s="32">
        <v>5.72</v>
      </c>
      <c r="R52" s="32"/>
      <c r="S52" s="32">
        <v>0.08</v>
      </c>
      <c r="T52" s="51" t="s">
        <v>46</v>
      </c>
      <c r="U52" s="32">
        <v>10</v>
      </c>
      <c r="V52" s="32">
        <v>10</v>
      </c>
      <c r="W52" s="32">
        <v>10</v>
      </c>
      <c r="X52" s="32">
        <v>0</v>
      </c>
      <c r="Y52" s="32">
        <v>5</v>
      </c>
      <c r="Z52" s="32">
        <v>0</v>
      </c>
      <c r="AA52" s="32">
        <v>5</v>
      </c>
      <c r="AB52" s="32">
        <f t="shared" si="0"/>
        <v>40</v>
      </c>
      <c r="AC52" s="52" t="s">
        <v>68</v>
      </c>
      <c r="AD52" s="51" t="s">
        <v>66</v>
      </c>
    </row>
    <row r="53" spans="1:30" s="10" customFormat="1" ht="24.75" customHeight="1">
      <c r="A53" s="43">
        <v>73</v>
      </c>
      <c r="B53" s="44"/>
      <c r="C53" s="44"/>
      <c r="D53" s="46">
        <v>2018</v>
      </c>
      <c r="E53" s="48"/>
      <c r="F53" s="56" t="s">
        <v>66</v>
      </c>
      <c r="G53" s="32">
        <v>14</v>
      </c>
      <c r="H53" s="32" t="s">
        <v>1</v>
      </c>
      <c r="I53" s="33">
        <v>3.03</v>
      </c>
      <c r="J53" s="32" t="s">
        <v>4</v>
      </c>
      <c r="K53" s="51" t="s">
        <v>66</v>
      </c>
      <c r="L53" s="32">
        <v>15</v>
      </c>
      <c r="M53" s="32">
        <f>0.208*1000</f>
        <v>208</v>
      </c>
      <c r="N53" s="32">
        <v>25</v>
      </c>
      <c r="O53" s="32">
        <v>4.6</v>
      </c>
      <c r="P53" s="32">
        <v>46</v>
      </c>
      <c r="Q53" s="32">
        <v>5.73</v>
      </c>
      <c r="R53" s="32"/>
      <c r="S53" s="32">
        <v>0.13</v>
      </c>
      <c r="T53" s="51" t="s">
        <v>39</v>
      </c>
      <c r="U53" s="32">
        <v>20</v>
      </c>
      <c r="V53" s="32">
        <v>10</v>
      </c>
      <c r="W53" s="32">
        <v>5</v>
      </c>
      <c r="X53" s="32">
        <v>0</v>
      </c>
      <c r="Y53" s="32">
        <v>5</v>
      </c>
      <c r="Z53" s="32">
        <v>0</v>
      </c>
      <c r="AA53" s="32">
        <v>5</v>
      </c>
      <c r="AB53" s="32">
        <f t="shared" si="0"/>
        <v>45</v>
      </c>
      <c r="AC53" s="52" t="s">
        <v>4</v>
      </c>
      <c r="AD53" s="51" t="s">
        <v>66</v>
      </c>
    </row>
    <row r="54" spans="1:30" s="10" customFormat="1" ht="24.75" customHeight="1">
      <c r="A54" s="3">
        <v>73</v>
      </c>
      <c r="B54" s="5"/>
      <c r="C54" s="5"/>
      <c r="D54" s="11">
        <v>2019</v>
      </c>
      <c r="E54" s="28"/>
      <c r="F54" s="56" t="s">
        <v>47</v>
      </c>
      <c r="G54" s="32">
        <v>13</v>
      </c>
      <c r="H54" s="32" t="s">
        <v>1</v>
      </c>
      <c r="I54" s="33">
        <v>3.81</v>
      </c>
      <c r="J54" s="32" t="s">
        <v>4</v>
      </c>
      <c r="K54" s="51" t="s">
        <v>66</v>
      </c>
      <c r="L54" s="32">
        <v>13.4</v>
      </c>
      <c r="M54" s="32">
        <f>0.249*1000</f>
        <v>249</v>
      </c>
      <c r="N54" s="32">
        <v>30</v>
      </c>
      <c r="O54" s="32">
        <v>2.85</v>
      </c>
      <c r="P54" s="32">
        <v>26</v>
      </c>
      <c r="Q54" s="32">
        <v>5.9</v>
      </c>
      <c r="R54" s="32"/>
      <c r="S54" s="32">
        <v>0.03</v>
      </c>
      <c r="T54" s="51" t="s">
        <v>66</v>
      </c>
      <c r="U54" s="32">
        <v>20</v>
      </c>
      <c r="V54" s="32">
        <v>10</v>
      </c>
      <c r="W54" s="32">
        <v>5</v>
      </c>
      <c r="X54" s="32">
        <v>0</v>
      </c>
      <c r="Y54" s="32">
        <v>5</v>
      </c>
      <c r="Z54" s="32">
        <v>0</v>
      </c>
      <c r="AA54" s="32">
        <v>5</v>
      </c>
      <c r="AB54" s="32">
        <f t="shared" si="0"/>
        <v>45</v>
      </c>
      <c r="AC54" s="52" t="s">
        <v>4</v>
      </c>
      <c r="AD54" s="51" t="s">
        <v>66</v>
      </c>
    </row>
    <row r="55" spans="1:30" s="53" customFormat="1" ht="24.75" customHeight="1">
      <c r="A55" s="43">
        <v>73</v>
      </c>
      <c r="B55" s="44"/>
      <c r="C55" s="44"/>
      <c r="D55" s="46">
        <v>2020</v>
      </c>
      <c r="E55" s="48"/>
      <c r="F55" s="56" t="s">
        <v>47</v>
      </c>
      <c r="G55" s="32">
        <v>15</v>
      </c>
      <c r="H55" s="32" t="s">
        <v>1</v>
      </c>
      <c r="I55" s="33">
        <v>4.05</v>
      </c>
      <c r="J55" s="32" t="s">
        <v>7</v>
      </c>
      <c r="K55" s="51" t="s">
        <v>40</v>
      </c>
      <c r="L55" s="32">
        <v>11.1</v>
      </c>
      <c r="M55" s="32">
        <f>0.703*1000</f>
        <v>703</v>
      </c>
      <c r="N55" s="32">
        <v>7</v>
      </c>
      <c r="O55" s="32">
        <v>4.2</v>
      </c>
      <c r="P55" s="32">
        <v>38.3</v>
      </c>
      <c r="Q55" s="32">
        <v>4.34</v>
      </c>
      <c r="R55" s="32"/>
      <c r="S55" s="32">
        <v>0.04</v>
      </c>
      <c r="T55" s="51" t="s">
        <v>46</v>
      </c>
      <c r="U55" s="32">
        <v>20</v>
      </c>
      <c r="V55" s="32">
        <v>10</v>
      </c>
      <c r="W55" s="32">
        <v>10</v>
      </c>
      <c r="X55" s="32">
        <v>0</v>
      </c>
      <c r="Y55" s="32">
        <v>5</v>
      </c>
      <c r="Z55" s="32">
        <v>0</v>
      </c>
      <c r="AA55" s="32">
        <v>5</v>
      </c>
      <c r="AB55" s="32">
        <f t="shared" si="0"/>
        <v>50</v>
      </c>
      <c r="AC55" s="52" t="s">
        <v>4</v>
      </c>
      <c r="AD55" s="51" t="s">
        <v>66</v>
      </c>
    </row>
    <row r="56" spans="1:30" s="53" customFormat="1" ht="24.75" customHeight="1">
      <c r="A56" s="43">
        <v>73</v>
      </c>
      <c r="B56" s="44"/>
      <c r="C56" s="44"/>
      <c r="D56" s="46">
        <v>2021</v>
      </c>
      <c r="E56" s="48"/>
      <c r="F56" s="56" t="s">
        <v>47</v>
      </c>
      <c r="G56" s="32">
        <v>10</v>
      </c>
      <c r="H56" s="32" t="s">
        <v>1</v>
      </c>
      <c r="I56" s="33">
        <v>4.67</v>
      </c>
      <c r="J56" s="32" t="s">
        <v>7</v>
      </c>
      <c r="K56" s="51" t="s">
        <v>40</v>
      </c>
      <c r="L56" s="32">
        <v>15</v>
      </c>
      <c r="M56" s="32">
        <v>347.7</v>
      </c>
      <c r="N56" s="32">
        <v>40.16</v>
      </c>
      <c r="O56" s="32">
        <v>2.56</v>
      </c>
      <c r="P56" s="32">
        <v>25.9</v>
      </c>
      <c r="Q56" s="32">
        <v>6.82</v>
      </c>
      <c r="R56" s="32">
        <v>244.1</v>
      </c>
      <c r="S56" s="32">
        <v>0.09</v>
      </c>
      <c r="T56" s="51" t="s">
        <v>46</v>
      </c>
      <c r="U56" s="32">
        <v>20</v>
      </c>
      <c r="V56" s="32">
        <v>10</v>
      </c>
      <c r="W56" s="32">
        <v>10</v>
      </c>
      <c r="X56" s="32">
        <v>0</v>
      </c>
      <c r="Y56" s="32">
        <v>5</v>
      </c>
      <c r="Z56" s="32">
        <v>0</v>
      </c>
      <c r="AA56" s="32">
        <v>5</v>
      </c>
      <c r="AB56" s="32">
        <f t="shared" si="0"/>
        <v>50</v>
      </c>
      <c r="AC56" s="52" t="s">
        <v>4</v>
      </c>
      <c r="AD56" s="51" t="s">
        <v>66</v>
      </c>
    </row>
    <row r="57" spans="1:30" s="10" customFormat="1" ht="24.75" customHeight="1">
      <c r="A57" s="3">
        <v>69</v>
      </c>
      <c r="B57" s="7" t="s">
        <v>14</v>
      </c>
      <c r="C57" s="5" t="s">
        <v>15</v>
      </c>
      <c r="D57" s="6">
        <v>2011</v>
      </c>
      <c r="E57" s="5" t="s">
        <v>8</v>
      </c>
      <c r="F57" s="55" t="s">
        <v>66</v>
      </c>
      <c r="G57" s="7">
        <v>10</v>
      </c>
      <c r="H57" s="7" t="s">
        <v>1</v>
      </c>
      <c r="I57" s="8">
        <v>3.09</v>
      </c>
      <c r="J57" s="7" t="s">
        <v>4</v>
      </c>
      <c r="K57" s="13" t="s">
        <v>66</v>
      </c>
      <c r="L57" s="2">
        <v>14.5</v>
      </c>
      <c r="M57" s="2">
        <v>353</v>
      </c>
      <c r="N57" s="2">
        <v>20</v>
      </c>
      <c r="O57" s="2">
        <v>6.09</v>
      </c>
      <c r="P57" s="2">
        <v>80</v>
      </c>
      <c r="Q57" s="2">
        <v>6.27</v>
      </c>
      <c r="R57" s="2"/>
      <c r="S57" s="2">
        <v>0.08</v>
      </c>
      <c r="T57" s="4" t="s">
        <v>39</v>
      </c>
      <c r="U57" s="7">
        <v>5</v>
      </c>
      <c r="V57" s="7">
        <v>10</v>
      </c>
      <c r="W57" s="7">
        <v>10</v>
      </c>
      <c r="X57" s="7">
        <v>0</v>
      </c>
      <c r="Y57" s="7">
        <v>0</v>
      </c>
      <c r="Z57" s="7">
        <v>20</v>
      </c>
      <c r="AA57" s="7">
        <v>0</v>
      </c>
      <c r="AB57" s="7">
        <f t="shared" si="0"/>
        <v>45</v>
      </c>
      <c r="AC57" s="9" t="s">
        <v>4</v>
      </c>
      <c r="AD57" s="4" t="s">
        <v>66</v>
      </c>
    </row>
    <row r="58" spans="1:30" s="53" customFormat="1" ht="24.75" customHeight="1">
      <c r="A58" s="3">
        <v>69</v>
      </c>
      <c r="B58" s="7"/>
      <c r="C58" s="5"/>
      <c r="D58" s="6">
        <v>2012</v>
      </c>
      <c r="E58" s="5"/>
      <c r="F58" s="55" t="s">
        <v>47</v>
      </c>
      <c r="G58" s="7">
        <v>11</v>
      </c>
      <c r="H58" s="7" t="s">
        <v>1</v>
      </c>
      <c r="I58" s="8">
        <v>3.5</v>
      </c>
      <c r="J58" s="7" t="s">
        <v>4</v>
      </c>
      <c r="K58" s="13" t="s">
        <v>66</v>
      </c>
      <c r="L58" s="2">
        <v>18.2</v>
      </c>
      <c r="M58" s="2">
        <v>524</v>
      </c>
      <c r="N58" s="2">
        <v>15</v>
      </c>
      <c r="O58" s="2">
        <v>6.5</v>
      </c>
      <c r="P58" s="2" t="s">
        <v>48</v>
      </c>
      <c r="Q58" s="2">
        <v>6.56</v>
      </c>
      <c r="R58" s="2"/>
      <c r="S58" s="2">
        <v>0.09</v>
      </c>
      <c r="T58" s="4" t="s">
        <v>39</v>
      </c>
      <c r="U58" s="7">
        <v>5</v>
      </c>
      <c r="V58" s="7">
        <v>10</v>
      </c>
      <c r="W58" s="7">
        <v>5</v>
      </c>
      <c r="X58" s="7">
        <v>0</v>
      </c>
      <c r="Y58" s="7">
        <v>0</v>
      </c>
      <c r="Z58" s="7">
        <v>10</v>
      </c>
      <c r="AA58" s="7">
        <v>0</v>
      </c>
      <c r="AB58" s="7">
        <f t="shared" si="0"/>
        <v>30</v>
      </c>
      <c r="AC58" s="9" t="s">
        <v>4</v>
      </c>
      <c r="AD58" s="4" t="s">
        <v>66</v>
      </c>
    </row>
    <row r="59" spans="1:30" s="10" customFormat="1" ht="24.75" customHeight="1">
      <c r="A59" s="3">
        <v>69</v>
      </c>
      <c r="B59" s="7"/>
      <c r="C59" s="5"/>
      <c r="D59" s="6">
        <v>2013</v>
      </c>
      <c r="E59" s="5"/>
      <c r="F59" s="55" t="s">
        <v>47</v>
      </c>
      <c r="G59" s="7">
        <v>18</v>
      </c>
      <c r="H59" s="7" t="s">
        <v>6</v>
      </c>
      <c r="I59" s="8">
        <v>2.88</v>
      </c>
      <c r="J59" s="7" t="s">
        <v>2</v>
      </c>
      <c r="K59" s="13" t="s">
        <v>47</v>
      </c>
      <c r="L59" s="2">
        <v>17</v>
      </c>
      <c r="M59" s="2">
        <f>0.466*1000</f>
        <v>466</v>
      </c>
      <c r="N59" s="2">
        <v>7</v>
      </c>
      <c r="O59" s="2">
        <v>3.4</v>
      </c>
      <c r="P59" s="2">
        <v>64</v>
      </c>
      <c r="Q59" s="2">
        <v>6.96</v>
      </c>
      <c r="R59" s="2"/>
      <c r="S59" s="2">
        <v>0.03</v>
      </c>
      <c r="T59" s="4" t="s">
        <v>39</v>
      </c>
      <c r="U59" s="7">
        <v>5</v>
      </c>
      <c r="V59" s="7">
        <v>10</v>
      </c>
      <c r="W59" s="7">
        <v>5</v>
      </c>
      <c r="X59" s="7">
        <v>0</v>
      </c>
      <c r="Y59" s="7">
        <v>0</v>
      </c>
      <c r="Z59" s="7">
        <v>10</v>
      </c>
      <c r="AA59" s="7">
        <v>0</v>
      </c>
      <c r="AB59" s="7">
        <f t="shared" si="0"/>
        <v>30</v>
      </c>
      <c r="AC59" s="9" t="s">
        <v>4</v>
      </c>
      <c r="AD59" s="4" t="s">
        <v>66</v>
      </c>
    </row>
    <row r="60" spans="1:30" s="10" customFormat="1" ht="24.75" customHeight="1">
      <c r="A60" s="3">
        <v>69</v>
      </c>
      <c r="B60" s="7"/>
      <c r="C60" s="5"/>
      <c r="D60" s="6">
        <v>2014</v>
      </c>
      <c r="E60" s="5"/>
      <c r="F60" s="55" t="s">
        <v>47</v>
      </c>
      <c r="G60" s="7">
        <v>10</v>
      </c>
      <c r="H60" s="7" t="s">
        <v>1</v>
      </c>
      <c r="I60" s="8">
        <v>3.5</v>
      </c>
      <c r="J60" s="7" t="s">
        <v>4</v>
      </c>
      <c r="K60" s="13" t="s">
        <v>66</v>
      </c>
      <c r="L60" s="2">
        <v>18</v>
      </c>
      <c r="M60" s="2">
        <f>0.433*1000</f>
        <v>433</v>
      </c>
      <c r="N60" s="2">
        <v>12</v>
      </c>
      <c r="O60" s="2">
        <v>5.78</v>
      </c>
      <c r="P60" s="2">
        <v>85</v>
      </c>
      <c r="Q60" s="2">
        <v>6.92</v>
      </c>
      <c r="R60" s="2"/>
      <c r="S60" s="2">
        <v>0.04</v>
      </c>
      <c r="T60" s="4" t="s">
        <v>39</v>
      </c>
      <c r="U60" s="7">
        <v>0</v>
      </c>
      <c r="V60" s="7">
        <v>10</v>
      </c>
      <c r="W60" s="7">
        <v>0</v>
      </c>
      <c r="X60" s="7">
        <v>0</v>
      </c>
      <c r="Y60" s="7">
        <v>0</v>
      </c>
      <c r="Z60" s="7">
        <v>10</v>
      </c>
      <c r="AA60" s="7">
        <v>0</v>
      </c>
      <c r="AB60" s="7">
        <f t="shared" si="0"/>
        <v>20</v>
      </c>
      <c r="AC60" s="9" t="s">
        <v>2</v>
      </c>
      <c r="AD60" s="4" t="s">
        <v>47</v>
      </c>
    </row>
    <row r="61" spans="1:30" s="10" customFormat="1" ht="24.75" customHeight="1">
      <c r="A61" s="3">
        <v>69</v>
      </c>
      <c r="B61" s="7"/>
      <c r="C61" s="5"/>
      <c r="D61" s="6">
        <v>2015</v>
      </c>
      <c r="E61" s="5"/>
      <c r="F61" s="55" t="s">
        <v>47</v>
      </c>
      <c r="G61" s="7">
        <v>10</v>
      </c>
      <c r="H61" s="7" t="s">
        <v>1</v>
      </c>
      <c r="I61" s="8">
        <v>2.28</v>
      </c>
      <c r="J61" s="7" t="s">
        <v>2</v>
      </c>
      <c r="K61" s="13" t="s">
        <v>47</v>
      </c>
      <c r="L61" s="2">
        <v>19</v>
      </c>
      <c r="M61" s="2">
        <f>0.36*1000</f>
        <v>360</v>
      </c>
      <c r="N61" s="2">
        <v>17</v>
      </c>
      <c r="O61" s="2">
        <v>5.5</v>
      </c>
      <c r="P61" s="2">
        <v>60</v>
      </c>
      <c r="Q61" s="2">
        <v>7.4</v>
      </c>
      <c r="R61" s="2"/>
      <c r="S61" s="2">
        <v>0.12</v>
      </c>
      <c r="T61" s="4" t="s">
        <v>39</v>
      </c>
      <c r="U61" s="7">
        <v>0</v>
      </c>
      <c r="V61" s="7">
        <v>10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f t="shared" si="0"/>
        <v>10</v>
      </c>
      <c r="AC61" s="9" t="s">
        <v>2</v>
      </c>
      <c r="AD61" s="4" t="s">
        <v>47</v>
      </c>
    </row>
    <row r="62" spans="1:30" s="10" customFormat="1" ht="24.75" customHeight="1">
      <c r="A62" s="43">
        <v>69</v>
      </c>
      <c r="B62" s="32"/>
      <c r="C62" s="44"/>
      <c r="D62" s="45">
        <v>2016</v>
      </c>
      <c r="E62" s="44"/>
      <c r="F62" s="55" t="s">
        <v>47</v>
      </c>
      <c r="G62" s="7">
        <v>12</v>
      </c>
      <c r="H62" s="7" t="s">
        <v>1</v>
      </c>
      <c r="I62" s="8">
        <v>3.41</v>
      </c>
      <c r="J62" s="7" t="s">
        <v>4</v>
      </c>
      <c r="K62" s="13" t="s">
        <v>66</v>
      </c>
      <c r="L62" s="2">
        <v>17.8</v>
      </c>
      <c r="M62" s="2">
        <f>0.346*1000</f>
        <v>346</v>
      </c>
      <c r="N62" s="2">
        <v>8</v>
      </c>
      <c r="O62" s="2">
        <v>5.72</v>
      </c>
      <c r="P62" s="2">
        <v>60</v>
      </c>
      <c r="Q62" s="2">
        <v>7.15</v>
      </c>
      <c r="R62" s="2"/>
      <c r="S62" s="2">
        <v>0.05</v>
      </c>
      <c r="T62" s="4" t="s">
        <v>39</v>
      </c>
      <c r="U62" s="7">
        <v>0</v>
      </c>
      <c r="V62" s="7">
        <v>10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f t="shared" si="0"/>
        <v>10</v>
      </c>
      <c r="AC62" s="9" t="s">
        <v>2</v>
      </c>
      <c r="AD62" s="4" t="s">
        <v>47</v>
      </c>
    </row>
    <row r="63" spans="1:30" s="10" customFormat="1" ht="24.75" customHeight="1">
      <c r="A63" s="43">
        <v>69</v>
      </c>
      <c r="B63" s="32"/>
      <c r="C63" s="44"/>
      <c r="D63" s="45">
        <v>2017</v>
      </c>
      <c r="E63" s="44"/>
      <c r="F63" s="55" t="s">
        <v>47</v>
      </c>
      <c r="G63" s="32">
        <v>12</v>
      </c>
      <c r="H63" s="32" t="s">
        <v>1</v>
      </c>
      <c r="I63" s="33">
        <v>3.33</v>
      </c>
      <c r="J63" s="32" t="s">
        <v>4</v>
      </c>
      <c r="K63" s="51" t="s">
        <v>66</v>
      </c>
      <c r="L63" s="32">
        <v>19.7</v>
      </c>
      <c r="M63" s="32">
        <f>0.285*1000</f>
        <v>285</v>
      </c>
      <c r="N63" s="32">
        <v>9</v>
      </c>
      <c r="O63" s="32">
        <v>2.1</v>
      </c>
      <c r="P63" s="32">
        <v>22</v>
      </c>
      <c r="Q63" s="32">
        <v>7.08</v>
      </c>
      <c r="R63" s="32"/>
      <c r="S63" s="32">
        <v>0.09</v>
      </c>
      <c r="T63" s="51" t="s">
        <v>40</v>
      </c>
      <c r="U63" s="32">
        <v>5</v>
      </c>
      <c r="V63" s="32">
        <v>10</v>
      </c>
      <c r="W63" s="32">
        <v>0</v>
      </c>
      <c r="X63" s="32">
        <v>5</v>
      </c>
      <c r="Y63" s="32">
        <v>0</v>
      </c>
      <c r="Z63" s="32">
        <v>10</v>
      </c>
      <c r="AA63" s="32">
        <v>5</v>
      </c>
      <c r="AB63" s="32">
        <f t="shared" si="0"/>
        <v>35</v>
      </c>
      <c r="AC63" s="52" t="s">
        <v>4</v>
      </c>
      <c r="AD63" s="51" t="s">
        <v>66</v>
      </c>
    </row>
    <row r="64" spans="1:30" s="10" customFormat="1" ht="24.75" customHeight="1">
      <c r="A64" s="43">
        <v>69</v>
      </c>
      <c r="B64" s="32"/>
      <c r="C64" s="44"/>
      <c r="D64" s="45">
        <v>2018</v>
      </c>
      <c r="E64" s="44"/>
      <c r="F64" s="55" t="s">
        <v>47</v>
      </c>
      <c r="G64" s="7">
        <v>8</v>
      </c>
      <c r="H64" s="7" t="s">
        <v>1</v>
      </c>
      <c r="I64" s="8">
        <v>3.72</v>
      </c>
      <c r="J64" s="7" t="s">
        <v>4</v>
      </c>
      <c r="K64" s="13" t="s">
        <v>66</v>
      </c>
      <c r="L64" s="2">
        <v>18.7</v>
      </c>
      <c r="M64" s="2">
        <f>0.286*1000</f>
        <v>286</v>
      </c>
      <c r="N64" s="2">
        <v>26</v>
      </c>
      <c r="O64" s="2">
        <v>4.23</v>
      </c>
      <c r="P64" s="2">
        <v>47</v>
      </c>
      <c r="Q64" s="2">
        <v>6.53</v>
      </c>
      <c r="R64" s="2"/>
      <c r="S64" s="2">
        <v>0.12</v>
      </c>
      <c r="T64" s="4" t="s">
        <v>39</v>
      </c>
      <c r="U64" s="7">
        <v>5</v>
      </c>
      <c r="V64" s="7">
        <v>10</v>
      </c>
      <c r="W64" s="7">
        <v>0</v>
      </c>
      <c r="X64" s="7">
        <v>5</v>
      </c>
      <c r="Y64" s="7">
        <v>5</v>
      </c>
      <c r="Z64" s="7">
        <v>0</v>
      </c>
      <c r="AA64" s="7">
        <v>5</v>
      </c>
      <c r="AB64" s="7">
        <f t="shared" si="0"/>
        <v>30</v>
      </c>
      <c r="AC64" s="9" t="s">
        <v>4</v>
      </c>
      <c r="AD64" s="4" t="s">
        <v>66</v>
      </c>
    </row>
    <row r="65" spans="1:30" s="10" customFormat="1" ht="24.75" customHeight="1">
      <c r="A65" s="3">
        <v>69</v>
      </c>
      <c r="B65" s="7"/>
      <c r="C65" s="5"/>
      <c r="D65" s="6">
        <v>2019</v>
      </c>
      <c r="E65" s="5"/>
      <c r="F65" s="55" t="s">
        <v>66</v>
      </c>
      <c r="G65" s="7">
        <v>10</v>
      </c>
      <c r="H65" s="7" t="s">
        <v>1</v>
      </c>
      <c r="I65" s="8">
        <v>4</v>
      </c>
      <c r="J65" s="7" t="s">
        <v>7</v>
      </c>
      <c r="K65" s="4" t="s">
        <v>40</v>
      </c>
      <c r="L65" s="7">
        <v>14.6</v>
      </c>
      <c r="M65" s="7">
        <f>0.447*1000</f>
        <v>447</v>
      </c>
      <c r="N65" s="7">
        <v>6.49</v>
      </c>
      <c r="O65" s="7">
        <v>4.9</v>
      </c>
      <c r="P65" s="7">
        <v>50</v>
      </c>
      <c r="Q65" s="7">
        <v>6.49</v>
      </c>
      <c r="R65" s="7"/>
      <c r="S65" s="7">
        <v>0.08</v>
      </c>
      <c r="T65" s="4" t="s">
        <v>39</v>
      </c>
      <c r="U65" s="7">
        <v>5</v>
      </c>
      <c r="V65" s="7">
        <v>10</v>
      </c>
      <c r="W65" s="7">
        <v>0</v>
      </c>
      <c r="X65" s="7">
        <v>5</v>
      </c>
      <c r="Y65" s="7">
        <v>0</v>
      </c>
      <c r="Z65" s="7">
        <v>0</v>
      </c>
      <c r="AA65" s="7">
        <v>5</v>
      </c>
      <c r="AB65" s="7">
        <f t="shared" si="0"/>
        <v>25</v>
      </c>
      <c r="AC65" s="9" t="s">
        <v>2</v>
      </c>
      <c r="AD65" s="4" t="s">
        <v>47</v>
      </c>
    </row>
    <row r="66" spans="1:30" s="53" customFormat="1" ht="24.75" customHeight="1">
      <c r="A66" s="43">
        <v>69</v>
      </c>
      <c r="B66" s="32"/>
      <c r="C66" s="44"/>
      <c r="D66" s="45">
        <v>2020</v>
      </c>
      <c r="E66" s="44"/>
      <c r="F66" s="55" t="s">
        <v>47</v>
      </c>
      <c r="G66" s="32">
        <v>19</v>
      </c>
      <c r="H66" s="32" t="s">
        <v>6</v>
      </c>
      <c r="I66" s="33">
        <v>3.56</v>
      </c>
      <c r="J66" s="32" t="s">
        <v>4</v>
      </c>
      <c r="K66" s="51" t="s">
        <v>66</v>
      </c>
      <c r="L66" s="32">
        <v>14.2</v>
      </c>
      <c r="M66" s="32">
        <f>0.387*1000</f>
        <v>387</v>
      </c>
      <c r="N66" s="32">
        <v>6</v>
      </c>
      <c r="O66" s="32">
        <v>7.4</v>
      </c>
      <c r="P66" s="32">
        <v>75</v>
      </c>
      <c r="Q66" s="32">
        <v>6.77</v>
      </c>
      <c r="R66" s="32"/>
      <c r="S66" s="32">
        <v>0.01</v>
      </c>
      <c r="T66" s="51" t="s">
        <v>39</v>
      </c>
      <c r="U66" s="32">
        <v>0</v>
      </c>
      <c r="V66" s="32">
        <v>10</v>
      </c>
      <c r="W66" s="32">
        <v>0</v>
      </c>
      <c r="X66" s="32">
        <v>5</v>
      </c>
      <c r="Y66" s="32">
        <v>0</v>
      </c>
      <c r="Z66" s="32">
        <v>0</v>
      </c>
      <c r="AA66" s="32">
        <v>5</v>
      </c>
      <c r="AB66" s="32">
        <f aca="true" t="shared" si="1" ref="AB66:AB89">SUM(U66:AA66)</f>
        <v>20</v>
      </c>
      <c r="AC66" s="52" t="s">
        <v>2</v>
      </c>
      <c r="AD66" s="51" t="s">
        <v>47</v>
      </c>
    </row>
    <row r="67" spans="1:30" s="53" customFormat="1" ht="24.75" customHeight="1">
      <c r="A67" s="43">
        <v>69</v>
      </c>
      <c r="B67" s="32"/>
      <c r="C67" s="44"/>
      <c r="D67" s="45">
        <v>2021</v>
      </c>
      <c r="E67" s="44"/>
      <c r="F67" s="55" t="s">
        <v>66</v>
      </c>
      <c r="G67" s="32">
        <v>13</v>
      </c>
      <c r="H67" s="32" t="s">
        <v>1</v>
      </c>
      <c r="I67" s="33">
        <v>3.46</v>
      </c>
      <c r="J67" s="32" t="s">
        <v>4</v>
      </c>
      <c r="K67" s="51" t="s">
        <v>66</v>
      </c>
      <c r="L67" s="32">
        <v>17.5</v>
      </c>
      <c r="M67" s="32">
        <v>352.4</v>
      </c>
      <c r="N67" s="32">
        <v>2.99</v>
      </c>
      <c r="O67" s="32">
        <v>5.69</v>
      </c>
      <c r="P67" s="32">
        <v>60.1</v>
      </c>
      <c r="Q67" s="32">
        <v>7.5</v>
      </c>
      <c r="R67" s="32">
        <v>165</v>
      </c>
      <c r="S67" s="32">
        <v>0.04</v>
      </c>
      <c r="T67" s="51" t="s">
        <v>39</v>
      </c>
      <c r="U67" s="32">
        <v>5</v>
      </c>
      <c r="V67" s="32">
        <v>10</v>
      </c>
      <c r="W67" s="32">
        <v>0</v>
      </c>
      <c r="X67" s="32">
        <v>5</v>
      </c>
      <c r="Y67" s="32">
        <v>0</v>
      </c>
      <c r="Z67" s="32">
        <v>0</v>
      </c>
      <c r="AA67" s="32">
        <v>5</v>
      </c>
      <c r="AB67" s="32">
        <f t="shared" si="1"/>
        <v>25</v>
      </c>
      <c r="AC67" s="52" t="s">
        <v>2</v>
      </c>
      <c r="AD67" s="51" t="s">
        <v>47</v>
      </c>
    </row>
    <row r="68" spans="1:30" s="10" customFormat="1" ht="24.75" customHeight="1">
      <c r="A68" s="3">
        <v>60</v>
      </c>
      <c r="B68" s="5" t="s">
        <v>20</v>
      </c>
      <c r="C68" s="5" t="s">
        <v>21</v>
      </c>
      <c r="D68" s="11">
        <v>2011</v>
      </c>
      <c r="E68" s="5" t="s">
        <v>11</v>
      </c>
      <c r="F68" s="55" t="s">
        <v>47</v>
      </c>
      <c r="G68" s="7">
        <v>6</v>
      </c>
      <c r="H68" s="7" t="s">
        <v>1</v>
      </c>
      <c r="I68" s="8">
        <v>2</v>
      </c>
      <c r="J68" s="7" t="s">
        <v>2</v>
      </c>
      <c r="K68" s="13" t="s">
        <v>47</v>
      </c>
      <c r="L68" s="2">
        <v>16.3</v>
      </c>
      <c r="M68" s="2">
        <v>940</v>
      </c>
      <c r="N68" s="2">
        <v>4</v>
      </c>
      <c r="O68" s="2">
        <v>6.79</v>
      </c>
      <c r="P68" s="2">
        <v>86</v>
      </c>
      <c r="Q68" s="2">
        <v>6.52</v>
      </c>
      <c r="R68" s="2"/>
      <c r="S68" s="2">
        <v>0.09</v>
      </c>
      <c r="T68" s="4" t="s">
        <v>40</v>
      </c>
      <c r="U68" s="7">
        <v>10</v>
      </c>
      <c r="V68" s="7">
        <v>10</v>
      </c>
      <c r="W68" s="7">
        <v>10</v>
      </c>
      <c r="X68" s="7">
        <v>0</v>
      </c>
      <c r="Y68" s="7">
        <v>0</v>
      </c>
      <c r="Z68" s="7">
        <v>0</v>
      </c>
      <c r="AA68" s="7">
        <v>0</v>
      </c>
      <c r="AB68" s="7">
        <f t="shared" si="1"/>
        <v>30</v>
      </c>
      <c r="AC68" s="9" t="s">
        <v>4</v>
      </c>
      <c r="AD68" s="4" t="s">
        <v>66</v>
      </c>
    </row>
    <row r="69" spans="1:30" s="53" customFormat="1" ht="24.75" customHeight="1">
      <c r="A69" s="3">
        <v>60</v>
      </c>
      <c r="B69" s="5"/>
      <c r="C69" s="5"/>
      <c r="D69" s="11">
        <v>2012</v>
      </c>
      <c r="E69" s="5"/>
      <c r="F69" s="55" t="s">
        <v>66</v>
      </c>
      <c r="G69" s="7">
        <v>15</v>
      </c>
      <c r="H69" s="7" t="s">
        <v>1</v>
      </c>
      <c r="I69" s="8">
        <v>3.03</v>
      </c>
      <c r="J69" s="7" t="s">
        <v>4</v>
      </c>
      <c r="K69" s="13" t="s">
        <v>66</v>
      </c>
      <c r="L69" s="2">
        <v>16.5</v>
      </c>
      <c r="M69" s="2">
        <v>172</v>
      </c>
      <c r="N69" s="2">
        <v>4</v>
      </c>
      <c r="O69" s="2">
        <v>3.56</v>
      </c>
      <c r="P69" s="2">
        <v>62</v>
      </c>
      <c r="Q69" s="2">
        <v>6.77</v>
      </c>
      <c r="R69" s="2"/>
      <c r="S69" s="2">
        <v>0.09</v>
      </c>
      <c r="T69" s="4" t="s">
        <v>39</v>
      </c>
      <c r="U69" s="7">
        <v>20</v>
      </c>
      <c r="V69" s="7">
        <v>10</v>
      </c>
      <c r="W69" s="7">
        <v>5</v>
      </c>
      <c r="X69" s="7">
        <v>0</v>
      </c>
      <c r="Y69" s="7">
        <v>5</v>
      </c>
      <c r="Z69" s="7">
        <v>0</v>
      </c>
      <c r="AA69" s="7">
        <v>0</v>
      </c>
      <c r="AB69" s="7">
        <f t="shared" si="1"/>
        <v>40</v>
      </c>
      <c r="AC69" s="9" t="s">
        <v>4</v>
      </c>
      <c r="AD69" s="4" t="s">
        <v>66</v>
      </c>
    </row>
    <row r="70" spans="1:30" s="10" customFormat="1" ht="24.75" customHeight="1">
      <c r="A70" s="3">
        <v>60</v>
      </c>
      <c r="B70" s="5"/>
      <c r="C70" s="5"/>
      <c r="D70" s="11">
        <v>2013</v>
      </c>
      <c r="E70" s="5"/>
      <c r="F70" s="55" t="s">
        <v>47</v>
      </c>
      <c r="G70" s="7">
        <v>13</v>
      </c>
      <c r="H70" s="7" t="s">
        <v>1</v>
      </c>
      <c r="I70" s="8">
        <v>2.79</v>
      </c>
      <c r="J70" s="7" t="s">
        <v>2</v>
      </c>
      <c r="K70" s="13" t="s">
        <v>47</v>
      </c>
      <c r="L70" s="2">
        <v>15</v>
      </c>
      <c r="M70" s="2">
        <f>1.27*1000</f>
        <v>1270</v>
      </c>
      <c r="N70" s="2">
        <v>4</v>
      </c>
      <c r="O70" s="2">
        <v>2.96</v>
      </c>
      <c r="P70" s="2">
        <v>54</v>
      </c>
      <c r="Q70" s="2">
        <v>6.5</v>
      </c>
      <c r="R70" s="2"/>
      <c r="S70" s="2">
        <v>0.13</v>
      </c>
      <c r="T70" s="4" t="s">
        <v>70</v>
      </c>
      <c r="U70" s="7">
        <v>10</v>
      </c>
      <c r="V70" s="7">
        <v>10</v>
      </c>
      <c r="W70" s="7">
        <v>10</v>
      </c>
      <c r="X70" s="7">
        <v>0</v>
      </c>
      <c r="Y70" s="7">
        <v>5</v>
      </c>
      <c r="Z70" s="7">
        <v>10</v>
      </c>
      <c r="AA70" s="7">
        <v>5</v>
      </c>
      <c r="AB70" s="7">
        <f t="shared" si="1"/>
        <v>50</v>
      </c>
      <c r="AC70" s="9" t="s">
        <v>68</v>
      </c>
      <c r="AD70" s="4" t="s">
        <v>66</v>
      </c>
    </row>
    <row r="71" spans="1:30" s="10" customFormat="1" ht="24.75" customHeight="1">
      <c r="A71" s="3">
        <v>60</v>
      </c>
      <c r="B71" s="5"/>
      <c r="C71" s="5"/>
      <c r="D71" s="11">
        <v>2014</v>
      </c>
      <c r="E71" s="5"/>
      <c r="F71" s="55" t="s">
        <v>47</v>
      </c>
      <c r="G71" s="7">
        <v>14</v>
      </c>
      <c r="H71" s="7" t="s">
        <v>1</v>
      </c>
      <c r="I71" s="8">
        <v>2.77</v>
      </c>
      <c r="J71" s="7" t="s">
        <v>2</v>
      </c>
      <c r="K71" s="13" t="s">
        <v>47</v>
      </c>
      <c r="L71" s="2">
        <v>16.3</v>
      </c>
      <c r="M71" s="2">
        <f>1.06*1000</f>
        <v>1060</v>
      </c>
      <c r="N71" s="2">
        <v>2</v>
      </c>
      <c r="O71" s="2">
        <v>3.9</v>
      </c>
      <c r="P71" s="2">
        <v>40</v>
      </c>
      <c r="Q71" s="2">
        <v>7.01</v>
      </c>
      <c r="R71" s="2"/>
      <c r="S71" s="2">
        <v>0.09</v>
      </c>
      <c r="T71" s="4" t="s">
        <v>40</v>
      </c>
      <c r="U71" s="7">
        <v>5</v>
      </c>
      <c r="V71" s="7">
        <v>10</v>
      </c>
      <c r="W71" s="7">
        <v>10</v>
      </c>
      <c r="X71" s="7">
        <v>5</v>
      </c>
      <c r="Y71" s="7">
        <v>5</v>
      </c>
      <c r="Z71" s="7">
        <v>10</v>
      </c>
      <c r="AA71" s="7">
        <v>5</v>
      </c>
      <c r="AB71" s="7">
        <f t="shared" si="1"/>
        <v>50</v>
      </c>
      <c r="AC71" s="9" t="s">
        <v>68</v>
      </c>
      <c r="AD71" s="4" t="s">
        <v>66</v>
      </c>
    </row>
    <row r="72" spans="1:30" s="10" customFormat="1" ht="24.75" customHeight="1">
      <c r="A72" s="3">
        <v>60</v>
      </c>
      <c r="B72" s="5"/>
      <c r="C72" s="5"/>
      <c r="D72" s="11">
        <v>2015</v>
      </c>
      <c r="E72" s="5"/>
      <c r="F72" s="55" t="s">
        <v>47</v>
      </c>
      <c r="G72" s="7">
        <v>12</v>
      </c>
      <c r="H72" s="7" t="s">
        <v>1</v>
      </c>
      <c r="I72" s="8">
        <v>2.26</v>
      </c>
      <c r="J72" s="7" t="s">
        <v>2</v>
      </c>
      <c r="K72" s="13" t="s">
        <v>47</v>
      </c>
      <c r="L72" s="2">
        <v>18.4</v>
      </c>
      <c r="M72" s="2">
        <f>0.886*1000</f>
        <v>886</v>
      </c>
      <c r="N72" s="2">
        <v>2</v>
      </c>
      <c r="O72" s="2">
        <v>5.1</v>
      </c>
      <c r="P72" s="2">
        <v>56</v>
      </c>
      <c r="Q72" s="2">
        <v>7.4</v>
      </c>
      <c r="R72" s="2"/>
      <c r="S72" s="2">
        <v>0.14</v>
      </c>
      <c r="T72" s="4" t="s">
        <v>40</v>
      </c>
      <c r="U72" s="7">
        <v>10</v>
      </c>
      <c r="V72" s="7">
        <v>10</v>
      </c>
      <c r="W72" s="7">
        <v>5</v>
      </c>
      <c r="X72" s="7">
        <v>5</v>
      </c>
      <c r="Y72" s="7">
        <v>10</v>
      </c>
      <c r="Z72" s="7">
        <v>10</v>
      </c>
      <c r="AA72" s="7">
        <v>5</v>
      </c>
      <c r="AB72" s="7">
        <f t="shared" si="1"/>
        <v>55</v>
      </c>
      <c r="AC72" s="9" t="s">
        <v>7</v>
      </c>
      <c r="AD72" s="4" t="s">
        <v>40</v>
      </c>
    </row>
    <row r="73" spans="1:30" s="10" customFormat="1" ht="24.75" customHeight="1">
      <c r="A73" s="43">
        <v>60</v>
      </c>
      <c r="B73" s="44"/>
      <c r="C73" s="44"/>
      <c r="D73" s="46">
        <v>2016</v>
      </c>
      <c r="E73" s="44"/>
      <c r="F73" s="55" t="s">
        <v>66</v>
      </c>
      <c r="G73" s="7">
        <v>16</v>
      </c>
      <c r="H73" s="7" t="s">
        <v>6</v>
      </c>
      <c r="I73" s="8">
        <v>3.05</v>
      </c>
      <c r="J73" s="7" t="s">
        <v>4</v>
      </c>
      <c r="K73" s="13" t="s">
        <v>66</v>
      </c>
      <c r="L73" s="2">
        <v>14.5</v>
      </c>
      <c r="M73" s="2">
        <f>0.387*1000</f>
        <v>387</v>
      </c>
      <c r="N73" s="2">
        <v>6</v>
      </c>
      <c r="O73" s="2">
        <v>3.68</v>
      </c>
      <c r="P73" s="2">
        <v>66</v>
      </c>
      <c r="Q73" s="2">
        <v>6.95</v>
      </c>
      <c r="R73" s="2"/>
      <c r="S73" s="2">
        <v>0.12</v>
      </c>
      <c r="T73" s="4" t="s">
        <v>40</v>
      </c>
      <c r="U73" s="7">
        <v>10</v>
      </c>
      <c r="V73" s="7">
        <v>10</v>
      </c>
      <c r="W73" s="7">
        <v>5</v>
      </c>
      <c r="X73" s="7">
        <v>5</v>
      </c>
      <c r="Y73" s="7">
        <v>10</v>
      </c>
      <c r="Z73" s="7">
        <v>20</v>
      </c>
      <c r="AA73" s="7">
        <v>5</v>
      </c>
      <c r="AB73" s="7">
        <f t="shared" si="1"/>
        <v>65</v>
      </c>
      <c r="AC73" s="9" t="s">
        <v>7</v>
      </c>
      <c r="AD73" s="4" t="s">
        <v>40</v>
      </c>
    </row>
    <row r="74" spans="1:30" s="10" customFormat="1" ht="24.75" customHeight="1">
      <c r="A74" s="43">
        <v>60</v>
      </c>
      <c r="B74" s="44"/>
      <c r="C74" s="44"/>
      <c r="D74" s="46">
        <v>2017</v>
      </c>
      <c r="E74" s="44"/>
      <c r="F74" s="55" t="s">
        <v>47</v>
      </c>
      <c r="G74" s="32">
        <v>15</v>
      </c>
      <c r="H74" s="32" t="s">
        <v>1</v>
      </c>
      <c r="I74" s="33">
        <v>3.84</v>
      </c>
      <c r="J74" s="32" t="s">
        <v>4</v>
      </c>
      <c r="K74" s="51" t="s">
        <v>66</v>
      </c>
      <c r="L74" s="32">
        <v>18</v>
      </c>
      <c r="M74" s="32">
        <f>0.86*1000</f>
        <v>860</v>
      </c>
      <c r="N74" s="32">
        <v>7</v>
      </c>
      <c r="O74" s="32">
        <v>2.7</v>
      </c>
      <c r="P74" s="32">
        <v>32</v>
      </c>
      <c r="Q74" s="32">
        <v>7.24</v>
      </c>
      <c r="R74" s="32"/>
      <c r="S74" s="32">
        <v>0.12</v>
      </c>
      <c r="T74" s="51" t="s">
        <v>70</v>
      </c>
      <c r="U74" s="32">
        <v>10</v>
      </c>
      <c r="V74" s="32">
        <v>10</v>
      </c>
      <c r="W74" s="32">
        <v>5</v>
      </c>
      <c r="X74" s="32">
        <v>5</v>
      </c>
      <c r="Y74" s="32">
        <v>10</v>
      </c>
      <c r="Z74" s="32">
        <v>10</v>
      </c>
      <c r="AA74" s="32">
        <v>5</v>
      </c>
      <c r="AB74" s="32">
        <f t="shared" si="1"/>
        <v>55</v>
      </c>
      <c r="AC74" s="52" t="s">
        <v>7</v>
      </c>
      <c r="AD74" s="51" t="s">
        <v>40</v>
      </c>
    </row>
    <row r="75" spans="1:30" s="53" customFormat="1" ht="24.75" customHeight="1">
      <c r="A75" s="43">
        <v>60</v>
      </c>
      <c r="B75" s="44"/>
      <c r="C75" s="44"/>
      <c r="D75" s="46">
        <v>2018</v>
      </c>
      <c r="E75" s="44"/>
      <c r="F75" s="55" t="s">
        <v>47</v>
      </c>
      <c r="G75" s="32">
        <v>17</v>
      </c>
      <c r="H75" s="32" t="s">
        <v>6</v>
      </c>
      <c r="I75" s="33">
        <v>3.1</v>
      </c>
      <c r="J75" s="32" t="s">
        <v>4</v>
      </c>
      <c r="K75" s="51" t="s">
        <v>66</v>
      </c>
      <c r="L75" s="32">
        <v>18.4</v>
      </c>
      <c r="M75" s="32">
        <f>0.803*1000</f>
        <v>803</v>
      </c>
      <c r="N75" s="32">
        <v>4</v>
      </c>
      <c r="O75" s="32">
        <v>4.08</v>
      </c>
      <c r="P75" s="32">
        <v>44</v>
      </c>
      <c r="Q75" s="32">
        <v>6.9</v>
      </c>
      <c r="R75" s="32"/>
      <c r="S75" s="32">
        <v>0.23</v>
      </c>
      <c r="T75" s="51" t="s">
        <v>40</v>
      </c>
      <c r="U75" s="32">
        <v>10</v>
      </c>
      <c r="V75" s="32">
        <v>10</v>
      </c>
      <c r="W75" s="32">
        <v>5</v>
      </c>
      <c r="X75" s="32">
        <v>5</v>
      </c>
      <c r="Y75" s="32">
        <v>5</v>
      </c>
      <c r="Z75" s="32">
        <v>10</v>
      </c>
      <c r="AA75" s="32">
        <v>5</v>
      </c>
      <c r="AB75" s="32">
        <f t="shared" si="1"/>
        <v>50</v>
      </c>
      <c r="AC75" s="52" t="s">
        <v>4</v>
      </c>
      <c r="AD75" s="51" t="s">
        <v>66</v>
      </c>
    </row>
    <row r="76" spans="1:30" s="53" customFormat="1" ht="24.75" customHeight="1">
      <c r="A76" s="3">
        <v>60</v>
      </c>
      <c r="B76" s="5"/>
      <c r="C76" s="5"/>
      <c r="D76" s="11">
        <v>2019</v>
      </c>
      <c r="E76" s="5"/>
      <c r="F76" s="55" t="s">
        <v>66</v>
      </c>
      <c r="G76" s="7">
        <v>16</v>
      </c>
      <c r="H76" s="7" t="s">
        <v>6</v>
      </c>
      <c r="I76" s="8">
        <v>3.19</v>
      </c>
      <c r="J76" s="7" t="s">
        <v>4</v>
      </c>
      <c r="K76" s="4" t="s">
        <v>66</v>
      </c>
      <c r="L76" s="7">
        <v>15.6</v>
      </c>
      <c r="M76" s="7">
        <f>0.678*1000</f>
        <v>678</v>
      </c>
      <c r="N76" s="7">
        <v>4</v>
      </c>
      <c r="O76" s="7">
        <v>3.77</v>
      </c>
      <c r="P76" s="7">
        <v>40</v>
      </c>
      <c r="Q76" s="7">
        <v>6.75</v>
      </c>
      <c r="R76" s="7"/>
      <c r="S76" s="7">
        <v>0.13</v>
      </c>
      <c r="T76" s="4" t="s">
        <v>39</v>
      </c>
      <c r="U76" s="7">
        <v>10</v>
      </c>
      <c r="V76" s="7">
        <v>10</v>
      </c>
      <c r="W76" s="7">
        <v>5</v>
      </c>
      <c r="X76" s="7">
        <v>5</v>
      </c>
      <c r="Y76" s="7">
        <v>5</v>
      </c>
      <c r="Z76" s="7">
        <v>10</v>
      </c>
      <c r="AA76" s="7">
        <v>5</v>
      </c>
      <c r="AB76" s="7">
        <f t="shared" si="1"/>
        <v>50</v>
      </c>
      <c r="AC76" s="9" t="s">
        <v>68</v>
      </c>
      <c r="AD76" s="4" t="s">
        <v>66</v>
      </c>
    </row>
    <row r="77" spans="1:30" s="53" customFormat="1" ht="24.75" customHeight="1">
      <c r="A77" s="43">
        <v>60</v>
      </c>
      <c r="B77" s="44"/>
      <c r="C77" s="44"/>
      <c r="D77" s="46">
        <v>2020</v>
      </c>
      <c r="E77" s="44"/>
      <c r="F77" s="55" t="s">
        <v>66</v>
      </c>
      <c r="G77" s="32">
        <v>15</v>
      </c>
      <c r="H77" s="32" t="s">
        <v>1</v>
      </c>
      <c r="I77" s="33">
        <v>3.3</v>
      </c>
      <c r="J77" s="32" t="s">
        <v>4</v>
      </c>
      <c r="K77" s="51" t="s">
        <v>66</v>
      </c>
      <c r="L77" s="32">
        <v>14.8</v>
      </c>
      <c r="M77" s="32">
        <f>0.703*1000</f>
        <v>703</v>
      </c>
      <c r="N77" s="32">
        <v>2</v>
      </c>
      <c r="O77" s="32">
        <v>7.2</v>
      </c>
      <c r="P77" s="45">
        <v>73.8</v>
      </c>
      <c r="Q77" s="32">
        <v>7.47</v>
      </c>
      <c r="R77" s="32"/>
      <c r="S77" s="32">
        <v>0.05</v>
      </c>
      <c r="T77" s="51" t="s">
        <v>39</v>
      </c>
      <c r="U77" s="32">
        <v>10</v>
      </c>
      <c r="V77" s="32">
        <v>10</v>
      </c>
      <c r="W77" s="32">
        <v>5</v>
      </c>
      <c r="X77" s="32">
        <v>5</v>
      </c>
      <c r="Y77" s="32">
        <v>10</v>
      </c>
      <c r="Z77" s="32">
        <v>10</v>
      </c>
      <c r="AA77" s="32">
        <v>5</v>
      </c>
      <c r="AB77" s="32">
        <f t="shared" si="1"/>
        <v>55</v>
      </c>
      <c r="AC77" s="52" t="s">
        <v>7</v>
      </c>
      <c r="AD77" s="51" t="s">
        <v>40</v>
      </c>
    </row>
    <row r="78" spans="1:30" s="53" customFormat="1" ht="24.75" customHeight="1">
      <c r="A78" s="43">
        <v>60</v>
      </c>
      <c r="B78" s="44"/>
      <c r="C78" s="44"/>
      <c r="D78" s="46">
        <v>2021</v>
      </c>
      <c r="E78" s="44"/>
      <c r="F78" s="55" t="s">
        <v>47</v>
      </c>
      <c r="G78" s="32">
        <v>13</v>
      </c>
      <c r="H78" s="32" t="s">
        <v>1</v>
      </c>
      <c r="I78" s="33">
        <v>2.86</v>
      </c>
      <c r="J78" s="32" t="s">
        <v>2</v>
      </c>
      <c r="K78" s="51" t="s">
        <v>47</v>
      </c>
      <c r="L78" s="32">
        <v>17.7</v>
      </c>
      <c r="M78" s="32">
        <v>885</v>
      </c>
      <c r="N78" s="32">
        <v>1.98</v>
      </c>
      <c r="O78" s="32">
        <v>4.47</v>
      </c>
      <c r="P78" s="45">
        <v>47.5</v>
      </c>
      <c r="Q78" s="32">
        <v>7.39</v>
      </c>
      <c r="R78" s="32">
        <v>103</v>
      </c>
      <c r="S78" s="32">
        <v>0.15</v>
      </c>
      <c r="T78" s="51" t="s">
        <v>40</v>
      </c>
      <c r="U78" s="32">
        <v>10</v>
      </c>
      <c r="V78" s="32">
        <v>10</v>
      </c>
      <c r="W78" s="32">
        <v>10</v>
      </c>
      <c r="X78" s="32">
        <v>5</v>
      </c>
      <c r="Y78" s="32">
        <v>5</v>
      </c>
      <c r="Z78" s="32">
        <v>0</v>
      </c>
      <c r="AA78" s="32">
        <v>5</v>
      </c>
      <c r="AB78" s="32">
        <f t="shared" si="1"/>
        <v>45</v>
      </c>
      <c r="AC78" s="52" t="s">
        <v>4</v>
      </c>
      <c r="AD78" s="51" t="s">
        <v>66</v>
      </c>
    </row>
    <row r="79" spans="1:30" s="10" customFormat="1" ht="24.75" customHeight="1">
      <c r="A79" s="3">
        <v>5</v>
      </c>
      <c r="B79" s="5" t="s">
        <v>17</v>
      </c>
      <c r="C79" s="5" t="s">
        <v>16</v>
      </c>
      <c r="D79" s="11">
        <v>2011</v>
      </c>
      <c r="E79" s="5" t="s">
        <v>9</v>
      </c>
      <c r="F79" s="55" t="s">
        <v>66</v>
      </c>
      <c r="G79" s="7">
        <v>5</v>
      </c>
      <c r="H79" s="7" t="s">
        <v>1</v>
      </c>
      <c r="I79" s="8">
        <v>3.15</v>
      </c>
      <c r="J79" s="7" t="s">
        <v>4</v>
      </c>
      <c r="K79" s="13" t="s">
        <v>66</v>
      </c>
      <c r="L79" s="2">
        <v>16.3</v>
      </c>
      <c r="M79" s="2">
        <v>518</v>
      </c>
      <c r="N79" s="2">
        <v>1</v>
      </c>
      <c r="O79" s="2">
        <v>7.21</v>
      </c>
      <c r="P79" s="2" t="s">
        <v>48</v>
      </c>
      <c r="Q79" s="2">
        <v>6.55</v>
      </c>
      <c r="R79" s="2"/>
      <c r="S79" s="2">
        <v>0.1</v>
      </c>
      <c r="T79" s="4" t="s">
        <v>39</v>
      </c>
      <c r="U79" s="7">
        <v>20</v>
      </c>
      <c r="V79" s="7">
        <v>10</v>
      </c>
      <c r="W79" s="7">
        <v>5</v>
      </c>
      <c r="X79" s="7">
        <v>10</v>
      </c>
      <c r="Y79" s="7">
        <v>10</v>
      </c>
      <c r="Z79" s="7">
        <v>10</v>
      </c>
      <c r="AA79" s="7">
        <v>10</v>
      </c>
      <c r="AB79" s="7">
        <f t="shared" si="1"/>
        <v>75</v>
      </c>
      <c r="AC79" s="9" t="s">
        <v>7</v>
      </c>
      <c r="AD79" s="4" t="s">
        <v>40</v>
      </c>
    </row>
    <row r="80" spans="1:30" ht="24.75" customHeight="1">
      <c r="A80" s="3">
        <v>5</v>
      </c>
      <c r="B80" s="5"/>
      <c r="C80" s="5"/>
      <c r="D80" s="11">
        <v>2012</v>
      </c>
      <c r="E80" s="5"/>
      <c r="F80" s="55" t="s">
        <v>66</v>
      </c>
      <c r="G80" s="7">
        <v>9</v>
      </c>
      <c r="H80" s="7" t="s">
        <v>1</v>
      </c>
      <c r="I80" s="8">
        <v>2</v>
      </c>
      <c r="J80" s="7" t="s">
        <v>2</v>
      </c>
      <c r="K80" s="13" t="s">
        <v>47</v>
      </c>
      <c r="L80" s="2">
        <v>16.6</v>
      </c>
      <c r="M80" s="2">
        <v>704</v>
      </c>
      <c r="N80" s="2">
        <v>8</v>
      </c>
      <c r="O80" s="2">
        <v>6.29</v>
      </c>
      <c r="P80" s="2">
        <v>86</v>
      </c>
      <c r="Q80" s="2">
        <v>6.73</v>
      </c>
      <c r="R80" s="2"/>
      <c r="S80" s="2">
        <v>0.13</v>
      </c>
      <c r="T80" s="4" t="s">
        <v>39</v>
      </c>
      <c r="U80" s="7">
        <v>20</v>
      </c>
      <c r="V80" s="7">
        <v>10</v>
      </c>
      <c r="W80" s="7">
        <v>5</v>
      </c>
      <c r="X80" s="7">
        <v>10</v>
      </c>
      <c r="Y80" s="7">
        <v>10</v>
      </c>
      <c r="Z80" s="7">
        <v>10</v>
      </c>
      <c r="AA80" s="7">
        <v>10</v>
      </c>
      <c r="AB80" s="7">
        <f t="shared" si="1"/>
        <v>75</v>
      </c>
      <c r="AC80" s="9" t="s">
        <v>7</v>
      </c>
      <c r="AD80" s="4" t="s">
        <v>40</v>
      </c>
    </row>
    <row r="81" spans="1:30" ht="24.75" customHeight="1">
      <c r="A81" s="3">
        <v>5</v>
      </c>
      <c r="B81" s="5"/>
      <c r="C81" s="5"/>
      <c r="D81" s="11">
        <v>2013</v>
      </c>
      <c r="E81" s="5"/>
      <c r="F81" s="55" t="s">
        <v>66</v>
      </c>
      <c r="G81" s="7">
        <v>12</v>
      </c>
      <c r="H81" s="7" t="s">
        <v>1</v>
      </c>
      <c r="I81" s="8">
        <v>2.86</v>
      </c>
      <c r="J81" s="7" t="s">
        <v>2</v>
      </c>
      <c r="K81" s="13" t="s">
        <v>47</v>
      </c>
      <c r="L81" s="2">
        <v>16.3</v>
      </c>
      <c r="M81" s="2">
        <f>0.671*1000</f>
        <v>671</v>
      </c>
      <c r="N81" s="2">
        <v>3</v>
      </c>
      <c r="O81" s="2">
        <v>5.56</v>
      </c>
      <c r="P81" s="2">
        <v>82</v>
      </c>
      <c r="Q81" s="2">
        <v>7</v>
      </c>
      <c r="R81" s="2"/>
      <c r="S81" s="2">
        <v>0.11</v>
      </c>
      <c r="T81" s="4" t="s">
        <v>39</v>
      </c>
      <c r="U81" s="7">
        <v>20</v>
      </c>
      <c r="V81" s="7">
        <v>10</v>
      </c>
      <c r="W81" s="7">
        <v>5</v>
      </c>
      <c r="X81" s="7">
        <v>10</v>
      </c>
      <c r="Y81" s="7">
        <v>5</v>
      </c>
      <c r="Z81" s="7">
        <v>0</v>
      </c>
      <c r="AA81" s="7">
        <v>5</v>
      </c>
      <c r="AB81" s="7">
        <f t="shared" si="1"/>
        <v>55</v>
      </c>
      <c r="AC81" s="9" t="s">
        <v>7</v>
      </c>
      <c r="AD81" s="4" t="s">
        <v>40</v>
      </c>
    </row>
    <row r="82" spans="1:30" ht="24.75" customHeight="1">
      <c r="A82" s="3">
        <v>5</v>
      </c>
      <c r="B82" s="5"/>
      <c r="C82" s="5"/>
      <c r="D82" s="11">
        <v>2014</v>
      </c>
      <c r="E82" s="5"/>
      <c r="F82" s="55" t="s">
        <v>47</v>
      </c>
      <c r="G82" s="7">
        <v>16</v>
      </c>
      <c r="H82" s="7" t="s">
        <v>6</v>
      </c>
      <c r="I82" s="8">
        <v>2.1</v>
      </c>
      <c r="J82" s="7" t="s">
        <v>2</v>
      </c>
      <c r="K82" s="13" t="s">
        <v>47</v>
      </c>
      <c r="L82" s="2">
        <v>16.6</v>
      </c>
      <c r="M82" s="2">
        <f>1.42*1000</f>
        <v>1420</v>
      </c>
      <c r="N82" s="2">
        <v>1</v>
      </c>
      <c r="O82" s="2">
        <v>5.72</v>
      </c>
      <c r="P82" s="2">
        <v>60</v>
      </c>
      <c r="Q82" s="2">
        <v>7.26</v>
      </c>
      <c r="R82" s="2"/>
      <c r="S82" s="2">
        <v>0.16</v>
      </c>
      <c r="T82" s="4" t="s">
        <v>70</v>
      </c>
      <c r="U82" s="7">
        <v>20</v>
      </c>
      <c r="V82" s="7">
        <v>10</v>
      </c>
      <c r="W82" s="7">
        <v>5</v>
      </c>
      <c r="X82" s="7">
        <v>0</v>
      </c>
      <c r="Y82" s="7">
        <v>10</v>
      </c>
      <c r="Z82" s="7">
        <v>0</v>
      </c>
      <c r="AA82" s="7">
        <v>0</v>
      </c>
      <c r="AB82" s="7">
        <f t="shared" si="1"/>
        <v>45</v>
      </c>
      <c r="AC82" s="9" t="s">
        <v>4</v>
      </c>
      <c r="AD82" s="4" t="s">
        <v>66</v>
      </c>
    </row>
    <row r="83" spans="1:30" ht="24.75" customHeight="1">
      <c r="A83" s="3">
        <v>5</v>
      </c>
      <c r="B83" s="5"/>
      <c r="C83" s="5"/>
      <c r="D83" s="11">
        <v>2015</v>
      </c>
      <c r="E83" s="5"/>
      <c r="F83" s="55" t="s">
        <v>47</v>
      </c>
      <c r="G83" s="7">
        <v>10</v>
      </c>
      <c r="H83" s="7" t="s">
        <v>1</v>
      </c>
      <c r="I83" s="8">
        <v>1.84</v>
      </c>
      <c r="J83" s="7" t="s">
        <v>2</v>
      </c>
      <c r="K83" s="13" t="s">
        <v>47</v>
      </c>
      <c r="L83" s="2">
        <v>18.8</v>
      </c>
      <c r="M83" s="2">
        <f>0.659*1000</f>
        <v>659</v>
      </c>
      <c r="N83" s="2">
        <v>1</v>
      </c>
      <c r="O83" s="2">
        <v>5.68</v>
      </c>
      <c r="P83" s="2">
        <v>62</v>
      </c>
      <c r="Q83" s="2">
        <v>7.51</v>
      </c>
      <c r="R83" s="2"/>
      <c r="S83" s="2">
        <v>0.15</v>
      </c>
      <c r="T83" s="4" t="s">
        <v>39</v>
      </c>
      <c r="U83" s="7">
        <v>20</v>
      </c>
      <c r="V83" s="7">
        <v>10</v>
      </c>
      <c r="W83" s="7">
        <v>5</v>
      </c>
      <c r="X83" s="7">
        <v>0</v>
      </c>
      <c r="Y83" s="7">
        <v>10</v>
      </c>
      <c r="Z83" s="7">
        <v>0</v>
      </c>
      <c r="AA83" s="7">
        <v>0</v>
      </c>
      <c r="AB83" s="7">
        <f t="shared" si="1"/>
        <v>45</v>
      </c>
      <c r="AC83" s="9" t="s">
        <v>4</v>
      </c>
      <c r="AD83" s="4" t="s">
        <v>66</v>
      </c>
    </row>
    <row r="84" spans="1:30" ht="24.75" customHeight="1">
      <c r="A84" s="43">
        <v>5</v>
      </c>
      <c r="B84" s="44"/>
      <c r="C84" s="44"/>
      <c r="D84" s="46">
        <v>2016</v>
      </c>
      <c r="E84" s="44"/>
      <c r="F84" s="55" t="s">
        <v>66</v>
      </c>
      <c r="G84" s="7">
        <v>12</v>
      </c>
      <c r="H84" s="7" t="s">
        <v>1</v>
      </c>
      <c r="I84" s="8">
        <v>2.87</v>
      </c>
      <c r="J84" s="7" t="s">
        <v>2</v>
      </c>
      <c r="K84" s="13" t="s">
        <v>47</v>
      </c>
      <c r="L84" s="2">
        <v>14.4</v>
      </c>
      <c r="M84" s="2">
        <f>0.312*1000</f>
        <v>312</v>
      </c>
      <c r="N84" s="2">
        <v>3</v>
      </c>
      <c r="O84" s="2">
        <v>6.35</v>
      </c>
      <c r="P84" s="2">
        <v>64</v>
      </c>
      <c r="Q84" s="2">
        <v>7.2</v>
      </c>
      <c r="R84" s="2"/>
      <c r="S84" s="2">
        <v>0.18</v>
      </c>
      <c r="T84" s="4" t="s">
        <v>39</v>
      </c>
      <c r="U84" s="7">
        <v>20</v>
      </c>
      <c r="V84" s="7">
        <v>10</v>
      </c>
      <c r="W84" s="7">
        <v>5</v>
      </c>
      <c r="X84" s="7">
        <v>5</v>
      </c>
      <c r="Y84" s="7">
        <v>5</v>
      </c>
      <c r="Z84" s="7">
        <v>0</v>
      </c>
      <c r="AA84" s="7">
        <v>0</v>
      </c>
      <c r="AB84" s="7">
        <f t="shared" si="1"/>
        <v>45</v>
      </c>
      <c r="AC84" s="9" t="s">
        <v>4</v>
      </c>
      <c r="AD84" s="4" t="s">
        <v>66</v>
      </c>
    </row>
    <row r="85" spans="1:30" ht="24.75" customHeight="1">
      <c r="A85" s="43">
        <v>5</v>
      </c>
      <c r="B85" s="44"/>
      <c r="C85" s="44"/>
      <c r="D85" s="46">
        <v>2017</v>
      </c>
      <c r="E85" s="44"/>
      <c r="F85" s="55" t="s">
        <v>47</v>
      </c>
      <c r="G85" s="32">
        <v>16</v>
      </c>
      <c r="H85" s="32" t="s">
        <v>6</v>
      </c>
      <c r="I85" s="33">
        <v>2.5</v>
      </c>
      <c r="J85" s="32" t="s">
        <v>2</v>
      </c>
      <c r="K85" s="51" t="s">
        <v>47</v>
      </c>
      <c r="L85" s="32">
        <v>17.3</v>
      </c>
      <c r="M85" s="32">
        <f>0.655*1000</f>
        <v>655</v>
      </c>
      <c r="N85" s="32">
        <v>0</v>
      </c>
      <c r="O85" s="32">
        <v>3</v>
      </c>
      <c r="P85" s="32">
        <v>30</v>
      </c>
      <c r="Q85" s="32">
        <v>7.26</v>
      </c>
      <c r="R85" s="32"/>
      <c r="S85" s="32">
        <v>0.11</v>
      </c>
      <c r="T85" s="51" t="s">
        <v>66</v>
      </c>
      <c r="U85" s="32">
        <v>20</v>
      </c>
      <c r="V85" s="32">
        <v>10</v>
      </c>
      <c r="W85" s="32">
        <v>5</v>
      </c>
      <c r="X85" s="32">
        <v>5</v>
      </c>
      <c r="Y85" s="32">
        <v>5</v>
      </c>
      <c r="Z85" s="32">
        <v>0</v>
      </c>
      <c r="AA85" s="32">
        <v>0</v>
      </c>
      <c r="AB85" s="32">
        <f t="shared" si="1"/>
        <v>45</v>
      </c>
      <c r="AC85" s="52" t="s">
        <v>4</v>
      </c>
      <c r="AD85" s="51" t="s">
        <v>66</v>
      </c>
    </row>
    <row r="86" spans="1:30" ht="24.75" customHeight="1">
      <c r="A86" s="43">
        <v>5</v>
      </c>
      <c r="B86" s="44"/>
      <c r="C86" s="44"/>
      <c r="D86" s="46">
        <v>2018</v>
      </c>
      <c r="E86" s="44"/>
      <c r="F86" s="55" t="s">
        <v>47</v>
      </c>
      <c r="G86" s="7">
        <v>18</v>
      </c>
      <c r="H86" s="7" t="s">
        <v>6</v>
      </c>
      <c r="I86" s="8">
        <v>3.47</v>
      </c>
      <c r="J86" s="7" t="s">
        <v>4</v>
      </c>
      <c r="K86" s="13" t="s">
        <v>66</v>
      </c>
      <c r="L86" s="2">
        <v>18.7</v>
      </c>
      <c r="M86" s="2">
        <f>0.559*1000</f>
        <v>559</v>
      </c>
      <c r="N86" s="2">
        <v>13</v>
      </c>
      <c r="O86" s="2">
        <v>5.54</v>
      </c>
      <c r="P86" s="2">
        <v>60</v>
      </c>
      <c r="Q86" s="2">
        <v>6.59</v>
      </c>
      <c r="R86" s="2"/>
      <c r="S86" s="2">
        <v>0.19</v>
      </c>
      <c r="T86" s="4" t="s">
        <v>39</v>
      </c>
      <c r="U86" s="7">
        <v>20</v>
      </c>
      <c r="V86" s="7">
        <v>10</v>
      </c>
      <c r="W86" s="7">
        <v>5</v>
      </c>
      <c r="X86" s="7">
        <v>0</v>
      </c>
      <c r="Y86" s="7">
        <v>5</v>
      </c>
      <c r="Z86" s="7">
        <v>0</v>
      </c>
      <c r="AA86" s="7">
        <v>0</v>
      </c>
      <c r="AB86" s="7">
        <f t="shared" si="1"/>
        <v>40</v>
      </c>
      <c r="AC86" s="9" t="s">
        <v>4</v>
      </c>
      <c r="AD86" s="4" t="s">
        <v>66</v>
      </c>
    </row>
    <row r="87" spans="1:30" ht="24.75" customHeight="1">
      <c r="A87" s="3">
        <v>5</v>
      </c>
      <c r="B87" s="5"/>
      <c r="C87" s="5"/>
      <c r="D87" s="11">
        <v>2019</v>
      </c>
      <c r="E87" s="5"/>
      <c r="F87" s="55" t="s">
        <v>66</v>
      </c>
      <c r="G87" s="7">
        <v>15</v>
      </c>
      <c r="H87" s="7" t="s">
        <v>1</v>
      </c>
      <c r="I87" s="8">
        <v>3.62</v>
      </c>
      <c r="J87" s="7" t="s">
        <v>4</v>
      </c>
      <c r="K87" s="4" t="s">
        <v>66</v>
      </c>
      <c r="L87" s="7">
        <v>16.5</v>
      </c>
      <c r="M87" s="7">
        <f>0.586*1000</f>
        <v>586</v>
      </c>
      <c r="N87" s="7">
        <v>0</v>
      </c>
      <c r="O87" s="7">
        <v>5.35</v>
      </c>
      <c r="P87" s="7">
        <v>56</v>
      </c>
      <c r="Q87" s="7">
        <v>6.96</v>
      </c>
      <c r="R87" s="7"/>
      <c r="S87" s="7">
        <v>0.12</v>
      </c>
      <c r="T87" s="4" t="s">
        <v>39</v>
      </c>
      <c r="U87" s="7">
        <v>20</v>
      </c>
      <c r="V87" s="7">
        <v>10</v>
      </c>
      <c r="W87" s="7">
        <v>5</v>
      </c>
      <c r="X87" s="7">
        <v>0</v>
      </c>
      <c r="Y87" s="7">
        <v>5</v>
      </c>
      <c r="Z87" s="7">
        <v>0</v>
      </c>
      <c r="AA87" s="7">
        <v>0</v>
      </c>
      <c r="AB87" s="7">
        <f t="shared" si="1"/>
        <v>40</v>
      </c>
      <c r="AC87" s="9" t="s">
        <v>4</v>
      </c>
      <c r="AD87" s="4" t="s">
        <v>66</v>
      </c>
    </row>
    <row r="88" spans="1:30" s="53" customFormat="1" ht="23.25" customHeight="1">
      <c r="A88" s="43">
        <v>5</v>
      </c>
      <c r="B88" s="44"/>
      <c r="C88" s="44"/>
      <c r="D88" s="46">
        <v>2020</v>
      </c>
      <c r="E88" s="44"/>
      <c r="F88" s="55" t="s">
        <v>47</v>
      </c>
      <c r="G88" s="32">
        <v>16</v>
      </c>
      <c r="H88" s="32" t="s">
        <v>6</v>
      </c>
      <c r="I88" s="33">
        <v>3.46</v>
      </c>
      <c r="J88" s="32" t="s">
        <v>4</v>
      </c>
      <c r="K88" s="51" t="s">
        <v>66</v>
      </c>
      <c r="L88" s="32">
        <v>14.1</v>
      </c>
      <c r="M88" s="32">
        <f>0.748*1000</f>
        <v>748</v>
      </c>
      <c r="N88" s="32">
        <v>13</v>
      </c>
      <c r="O88" s="32">
        <v>7.8</v>
      </c>
      <c r="P88" s="32">
        <v>77.8</v>
      </c>
      <c r="Q88" s="32">
        <v>7.14</v>
      </c>
      <c r="R88" s="32"/>
      <c r="S88" s="32">
        <v>0.07</v>
      </c>
      <c r="T88" s="51" t="s">
        <v>39</v>
      </c>
      <c r="U88" s="32">
        <v>20</v>
      </c>
      <c r="V88" s="32">
        <v>10</v>
      </c>
      <c r="W88" s="32">
        <v>5</v>
      </c>
      <c r="X88" s="32">
        <v>0</v>
      </c>
      <c r="Y88" s="32">
        <v>5</v>
      </c>
      <c r="Z88" s="32">
        <v>0</v>
      </c>
      <c r="AA88" s="32">
        <v>0</v>
      </c>
      <c r="AB88" s="32">
        <f t="shared" si="1"/>
        <v>40</v>
      </c>
      <c r="AC88" s="52" t="s">
        <v>4</v>
      </c>
      <c r="AD88" s="51" t="s">
        <v>66</v>
      </c>
    </row>
    <row r="89" spans="1:30" ht="27" customHeight="1">
      <c r="A89" s="119">
        <v>5</v>
      </c>
      <c r="B89" s="2"/>
      <c r="C89" s="118"/>
      <c r="D89" s="118">
        <v>2021</v>
      </c>
      <c r="E89" s="118"/>
      <c r="F89" s="55" t="s">
        <v>47</v>
      </c>
      <c r="G89" s="2">
        <v>11</v>
      </c>
      <c r="H89" s="2" t="s">
        <v>1</v>
      </c>
      <c r="I89" s="2">
        <v>3.11</v>
      </c>
      <c r="J89" s="2" t="s">
        <v>4</v>
      </c>
      <c r="K89" s="13" t="s">
        <v>66</v>
      </c>
      <c r="L89" s="2">
        <v>18.9</v>
      </c>
      <c r="M89" s="2">
        <v>478</v>
      </c>
      <c r="N89" s="2">
        <v>18.48</v>
      </c>
      <c r="O89" s="2">
        <v>6.96</v>
      </c>
      <c r="P89" s="2">
        <v>75.4</v>
      </c>
      <c r="Q89" s="2">
        <v>7.56</v>
      </c>
      <c r="R89" s="2">
        <v>176</v>
      </c>
      <c r="S89" s="2">
        <v>0.16</v>
      </c>
      <c r="T89" s="13" t="s">
        <v>39</v>
      </c>
      <c r="U89" s="2">
        <v>20</v>
      </c>
      <c r="V89" s="2">
        <v>10</v>
      </c>
      <c r="W89" s="2">
        <v>5</v>
      </c>
      <c r="X89" s="2">
        <v>0</v>
      </c>
      <c r="Y89" s="2">
        <v>5</v>
      </c>
      <c r="Z89" s="2">
        <v>0</v>
      </c>
      <c r="AA89" s="2">
        <v>0</v>
      </c>
      <c r="AB89" s="2">
        <f t="shared" si="1"/>
        <v>40</v>
      </c>
      <c r="AC89" s="119" t="s">
        <v>4</v>
      </c>
      <c r="AD89" s="13" t="s">
        <v>66</v>
      </c>
    </row>
    <row r="90" ht="12.75">
      <c r="B90" s="31"/>
    </row>
    <row r="91" ht="12.75">
      <c r="B91" s="31"/>
    </row>
    <row r="92" ht="12.75">
      <c r="B92" s="38"/>
    </row>
    <row r="93" ht="12.75">
      <c r="B93" s="38"/>
    </row>
    <row r="94" ht="12.75">
      <c r="B94" s="38"/>
    </row>
    <row r="95" ht="12.75">
      <c r="B95" s="38"/>
    </row>
    <row r="96" ht="12.75">
      <c r="B96" s="38"/>
    </row>
    <row r="97" ht="12.75">
      <c r="B97" s="38"/>
    </row>
    <row r="98" ht="12.75">
      <c r="B98" s="38"/>
    </row>
    <row r="99" ht="12.75">
      <c r="B99" s="38"/>
    </row>
    <row r="100" ht="12.75">
      <c r="B100" s="38"/>
    </row>
    <row r="101" ht="12.75">
      <c r="B101" s="38"/>
    </row>
  </sheetData>
  <sheetProtection/>
  <mergeCells count="31">
    <mergeCell ref="C1:C3"/>
    <mergeCell ref="A1:A3"/>
    <mergeCell ref="B1:B3"/>
    <mergeCell ref="D1:D3"/>
    <mergeCell ref="R1:R3"/>
    <mergeCell ref="G1:G3"/>
    <mergeCell ref="H1:H3"/>
    <mergeCell ref="I1:I3"/>
    <mergeCell ref="J1:J3"/>
    <mergeCell ref="K1:K3"/>
    <mergeCell ref="E1:E3"/>
    <mergeCell ref="F1:F3"/>
    <mergeCell ref="X2:X3"/>
    <mergeCell ref="Y2:Y3"/>
    <mergeCell ref="Z2:Z3"/>
    <mergeCell ref="L1:L3"/>
    <mergeCell ref="M1:M3"/>
    <mergeCell ref="N1:N3"/>
    <mergeCell ref="O1:O3"/>
    <mergeCell ref="P1:P3"/>
    <mergeCell ref="Q1:Q3"/>
    <mergeCell ref="AA2:AA3"/>
    <mergeCell ref="AB2:AB3"/>
    <mergeCell ref="AC2:AC3"/>
    <mergeCell ref="AD2:AD3"/>
    <mergeCell ref="S1:S3"/>
    <mergeCell ref="T1:T3"/>
    <mergeCell ref="U1:AD1"/>
    <mergeCell ref="U2:U3"/>
    <mergeCell ref="V2:V3"/>
    <mergeCell ref="W2:W3"/>
  </mergeCells>
  <printOptions/>
  <pageMargins left="0.03937007874015748" right="0.03937007874015748" top="0.35433070866141736" bottom="0.35433070866141736" header="0.11811023622047245" footer="0.11811023622047245"/>
  <pageSetup fitToHeight="0" fitToWidth="1" horizontalDpi="300" verticalDpi="300" orientation="landscape" paperSize="8" scale="79" r:id="rId3"/>
  <rowBreaks count="3" manualBreakCount="3">
    <brk id="26" max="255" man="1"/>
    <brk id="48" max="255" man="1"/>
    <brk id="6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zoomScalePageLayoutView="0" workbookViewId="0" topLeftCell="A1">
      <pane ySplit="2" topLeftCell="A156" activePane="bottomLeft" state="frozen"/>
      <selection pane="topLeft" activeCell="A1" sqref="A1:V73"/>
      <selection pane="bottomLeft" activeCell="I163" sqref="I163"/>
    </sheetView>
  </sheetViews>
  <sheetFormatPr defaultColWidth="9.140625" defaultRowHeight="12.75"/>
  <cols>
    <col min="1" max="1" width="5.28125" style="0" customWidth="1"/>
    <col min="2" max="2" width="55.28125" style="0" customWidth="1"/>
    <col min="3" max="3" width="6.57421875" style="0" customWidth="1"/>
    <col min="4" max="5" width="8.8515625" style="0" customWidth="1"/>
    <col min="7" max="7" width="11.8515625" style="0" customWidth="1"/>
  </cols>
  <sheetData>
    <row r="1" spans="1:7" ht="12.75" customHeight="1">
      <c r="A1" s="105" t="s">
        <v>41</v>
      </c>
      <c r="B1" s="107" t="s">
        <v>49</v>
      </c>
      <c r="C1" s="113" t="s">
        <v>30</v>
      </c>
      <c r="D1" s="111" t="s">
        <v>71</v>
      </c>
      <c r="E1" s="109" t="s">
        <v>50</v>
      </c>
      <c r="F1" s="105" t="s">
        <v>51</v>
      </c>
      <c r="G1" s="105" t="s">
        <v>52</v>
      </c>
    </row>
    <row r="2" spans="1:7" ht="41.25" customHeight="1">
      <c r="A2" s="106"/>
      <c r="B2" s="108"/>
      <c r="C2" s="114"/>
      <c r="D2" s="112"/>
      <c r="E2" s="110"/>
      <c r="F2" s="106"/>
      <c r="G2" s="106"/>
    </row>
    <row r="3" spans="1:7" ht="12.75" customHeight="1">
      <c r="A3" s="95" t="s">
        <v>59</v>
      </c>
      <c r="B3" s="101"/>
      <c r="C3" s="101"/>
      <c r="D3" s="101"/>
      <c r="E3" s="101"/>
      <c r="F3" s="101"/>
      <c r="G3" s="102"/>
    </row>
    <row r="4" spans="1:7" ht="15.75" customHeight="1">
      <c r="A4" s="14">
        <v>71</v>
      </c>
      <c r="B4" s="15" t="s">
        <v>74</v>
      </c>
      <c r="C4" s="120">
        <v>2011</v>
      </c>
      <c r="D4" s="27">
        <v>32.28</v>
      </c>
      <c r="E4" s="23">
        <v>30</v>
      </c>
      <c r="F4" s="27">
        <v>2.97</v>
      </c>
      <c r="G4" s="27">
        <v>0.38</v>
      </c>
    </row>
    <row r="5" spans="1:7" ht="15.75" customHeight="1">
      <c r="A5" s="22"/>
      <c r="B5" s="17"/>
      <c r="C5" s="121"/>
      <c r="D5" s="40" t="s">
        <v>70</v>
      </c>
      <c r="E5" s="41" t="s">
        <v>4</v>
      </c>
      <c r="F5" s="42" t="s">
        <v>2</v>
      </c>
      <c r="G5" s="42" t="s">
        <v>46</v>
      </c>
    </row>
    <row r="6" spans="1:7" ht="15.75" customHeight="1">
      <c r="A6" s="22"/>
      <c r="B6" s="17"/>
      <c r="C6" s="120">
        <v>2012</v>
      </c>
      <c r="D6" s="27">
        <v>29.8</v>
      </c>
      <c r="E6" s="23">
        <v>40</v>
      </c>
      <c r="F6" s="24">
        <v>3.1</v>
      </c>
      <c r="G6" s="24">
        <v>0.18</v>
      </c>
    </row>
    <row r="7" spans="1:7" ht="15.75" customHeight="1">
      <c r="A7" s="22"/>
      <c r="B7" s="17"/>
      <c r="C7" s="121"/>
      <c r="D7" s="40" t="s">
        <v>70</v>
      </c>
      <c r="E7" s="18" t="s">
        <v>4</v>
      </c>
      <c r="F7" s="19" t="s">
        <v>4</v>
      </c>
      <c r="G7" s="19" t="s">
        <v>46</v>
      </c>
    </row>
    <row r="8" spans="1:7" ht="15.75" customHeight="1">
      <c r="A8" s="16"/>
      <c r="B8" s="26"/>
      <c r="C8" s="120">
        <v>2013</v>
      </c>
      <c r="D8" s="27">
        <v>42.5</v>
      </c>
      <c r="E8" s="23">
        <v>35</v>
      </c>
      <c r="F8" s="24">
        <v>2.6</v>
      </c>
      <c r="G8" s="27">
        <v>0.72</v>
      </c>
    </row>
    <row r="9" spans="1:7" ht="15.75" customHeight="1">
      <c r="A9" s="16"/>
      <c r="B9" s="26"/>
      <c r="C9" s="122"/>
      <c r="D9" s="40" t="s">
        <v>47</v>
      </c>
      <c r="E9" s="18" t="s">
        <v>4</v>
      </c>
      <c r="F9" s="19" t="s">
        <v>2</v>
      </c>
      <c r="G9" s="20" t="s">
        <v>70</v>
      </c>
    </row>
    <row r="10" spans="1:7" ht="15.75" customHeight="1">
      <c r="A10" s="16"/>
      <c r="B10" s="26"/>
      <c r="C10" s="120">
        <v>2014</v>
      </c>
      <c r="D10" s="27">
        <v>43.9</v>
      </c>
      <c r="E10" s="23">
        <v>45</v>
      </c>
      <c r="F10" s="24">
        <v>1.6</v>
      </c>
      <c r="G10" s="54">
        <v>0.8</v>
      </c>
    </row>
    <row r="11" spans="1:7" ht="15.75" customHeight="1">
      <c r="A11" s="16"/>
      <c r="B11" s="26"/>
      <c r="C11" s="121"/>
      <c r="D11" s="40" t="s">
        <v>47</v>
      </c>
      <c r="E11" s="18" t="s">
        <v>4</v>
      </c>
      <c r="F11" s="19" t="s">
        <v>2</v>
      </c>
      <c r="G11" s="20" t="s">
        <v>47</v>
      </c>
    </row>
    <row r="12" spans="1:7" ht="15.75" customHeight="1">
      <c r="A12" s="16"/>
      <c r="B12" s="26"/>
      <c r="C12" s="120">
        <v>2015</v>
      </c>
      <c r="D12" s="27">
        <v>52.9</v>
      </c>
      <c r="E12" s="23">
        <v>45</v>
      </c>
      <c r="F12" s="24">
        <v>2.5</v>
      </c>
      <c r="G12" s="27">
        <v>0.98</v>
      </c>
    </row>
    <row r="13" spans="1:7" ht="15.75" customHeight="1">
      <c r="A13" s="16"/>
      <c r="B13" s="26"/>
      <c r="C13" s="121"/>
      <c r="D13" s="40" t="s">
        <v>47</v>
      </c>
      <c r="E13" s="18" t="s">
        <v>4</v>
      </c>
      <c r="F13" s="19" t="s">
        <v>2</v>
      </c>
      <c r="G13" s="20" t="s">
        <v>39</v>
      </c>
    </row>
    <row r="14" spans="1:7" ht="15.75" customHeight="1">
      <c r="A14" s="16"/>
      <c r="B14" s="26"/>
      <c r="C14" s="120">
        <v>2016</v>
      </c>
      <c r="D14" s="27">
        <v>49.38</v>
      </c>
      <c r="E14" s="27">
        <v>35</v>
      </c>
      <c r="F14" s="24">
        <v>3.42</v>
      </c>
      <c r="G14" s="27">
        <v>0.84</v>
      </c>
    </row>
    <row r="15" spans="1:7" ht="15.75" customHeight="1">
      <c r="A15" s="16"/>
      <c r="B15" s="26"/>
      <c r="C15" s="121"/>
      <c r="D15" s="40" t="s">
        <v>47</v>
      </c>
      <c r="E15" s="20" t="s">
        <v>4</v>
      </c>
      <c r="F15" s="19" t="s">
        <v>4</v>
      </c>
      <c r="G15" s="20" t="s">
        <v>66</v>
      </c>
    </row>
    <row r="16" spans="1:7" ht="15.75" customHeight="1">
      <c r="A16" s="16"/>
      <c r="B16" s="26"/>
      <c r="C16" s="120">
        <v>2017</v>
      </c>
      <c r="D16" s="27">
        <v>40.38</v>
      </c>
      <c r="E16" s="27">
        <v>30</v>
      </c>
      <c r="F16" s="24">
        <v>3.42</v>
      </c>
      <c r="G16" s="27">
        <v>0.59</v>
      </c>
    </row>
    <row r="17" spans="1:7" ht="15.75" customHeight="1">
      <c r="A17" s="16"/>
      <c r="B17" s="26"/>
      <c r="C17" s="121"/>
      <c r="D17" s="40" t="s">
        <v>47</v>
      </c>
      <c r="E17" s="20" t="s">
        <v>4</v>
      </c>
      <c r="F17" s="19" t="s">
        <v>4</v>
      </c>
      <c r="G17" s="20" t="s">
        <v>46</v>
      </c>
    </row>
    <row r="18" spans="1:7" ht="15.75" customHeight="1">
      <c r="A18" s="16"/>
      <c r="B18" s="39"/>
      <c r="C18" s="120">
        <v>2018</v>
      </c>
      <c r="D18" s="27">
        <v>48.24</v>
      </c>
      <c r="E18" s="27">
        <v>30</v>
      </c>
      <c r="F18" s="24">
        <v>3.06</v>
      </c>
      <c r="G18" s="54">
        <v>0.9</v>
      </c>
    </row>
    <row r="19" spans="1:7" ht="15.75" customHeight="1">
      <c r="A19" s="16"/>
      <c r="B19" s="17"/>
      <c r="C19" s="121"/>
      <c r="D19" s="40" t="s">
        <v>47</v>
      </c>
      <c r="E19" s="20" t="s">
        <v>4</v>
      </c>
      <c r="F19" s="19" t="s">
        <v>4</v>
      </c>
      <c r="G19" s="20" t="s">
        <v>40</v>
      </c>
    </row>
    <row r="20" spans="1:7" ht="15.75">
      <c r="A20" s="16"/>
      <c r="B20" s="26"/>
      <c r="C20" s="122">
        <v>2019</v>
      </c>
      <c r="D20" s="27">
        <v>42.44</v>
      </c>
      <c r="E20" s="27">
        <v>30</v>
      </c>
      <c r="F20" s="24">
        <v>3.26</v>
      </c>
      <c r="G20" s="27">
        <v>0.68</v>
      </c>
    </row>
    <row r="21" spans="1:7" ht="15.75" customHeight="1">
      <c r="A21" s="16"/>
      <c r="B21" s="26"/>
      <c r="C21" s="121"/>
      <c r="D21" s="40" t="s">
        <v>47</v>
      </c>
      <c r="E21" s="47" t="s">
        <v>4</v>
      </c>
      <c r="F21" s="42" t="s">
        <v>4</v>
      </c>
      <c r="G21" s="47" t="s">
        <v>46</v>
      </c>
    </row>
    <row r="22" spans="1:7" ht="15.75" customHeight="1">
      <c r="A22" s="16"/>
      <c r="B22" s="17"/>
      <c r="C22" s="120">
        <v>2020</v>
      </c>
      <c r="D22" s="27">
        <v>51.6</v>
      </c>
      <c r="E22" s="27">
        <v>35</v>
      </c>
      <c r="F22" s="24">
        <v>3.15</v>
      </c>
      <c r="G22" s="27">
        <v>1.08</v>
      </c>
    </row>
    <row r="23" spans="1:7" ht="15.75" customHeight="1">
      <c r="A23" s="16"/>
      <c r="B23" s="17"/>
      <c r="C23" s="121"/>
      <c r="D23" s="40" t="s">
        <v>47</v>
      </c>
      <c r="E23" s="47" t="s">
        <v>4</v>
      </c>
      <c r="F23" s="42" t="s">
        <v>4</v>
      </c>
      <c r="G23" s="47" t="s">
        <v>39</v>
      </c>
    </row>
    <row r="24" spans="1:7" ht="15.75" customHeight="1">
      <c r="A24" s="16"/>
      <c r="B24" s="17"/>
      <c r="C24" s="120">
        <v>2021</v>
      </c>
      <c r="D24" s="27">
        <v>53.32</v>
      </c>
      <c r="E24" s="27">
        <v>35</v>
      </c>
      <c r="F24" s="24">
        <v>3.13</v>
      </c>
      <c r="G24" s="27">
        <v>1.01</v>
      </c>
    </row>
    <row r="25" spans="1:7" ht="15.75" customHeight="1">
      <c r="A25" s="21"/>
      <c r="B25" s="17"/>
      <c r="C25" s="121"/>
      <c r="D25" s="40" t="s">
        <v>47</v>
      </c>
      <c r="E25" s="47" t="s">
        <v>4</v>
      </c>
      <c r="F25" s="42" t="s">
        <v>4</v>
      </c>
      <c r="G25" s="47" t="s">
        <v>39</v>
      </c>
    </row>
    <row r="26" spans="1:7" ht="15.75" customHeight="1">
      <c r="A26" s="95" t="s">
        <v>57</v>
      </c>
      <c r="B26" s="101"/>
      <c r="C26" s="101"/>
      <c r="D26" s="101"/>
      <c r="E26" s="101"/>
      <c r="F26" s="101"/>
      <c r="G26" s="102"/>
    </row>
    <row r="27" spans="1:7" ht="15.75" customHeight="1">
      <c r="A27" s="14">
        <v>5</v>
      </c>
      <c r="B27" s="15" t="s">
        <v>58</v>
      </c>
      <c r="C27" s="120">
        <v>2011</v>
      </c>
      <c r="D27" s="27">
        <v>66.9</v>
      </c>
      <c r="E27" s="23">
        <v>75</v>
      </c>
      <c r="F27" s="27">
        <v>3.15</v>
      </c>
      <c r="G27" s="27">
        <v>1.06</v>
      </c>
    </row>
    <row r="28" spans="1:7" ht="15.75" customHeight="1">
      <c r="A28" s="16"/>
      <c r="B28" s="17"/>
      <c r="C28" s="121"/>
      <c r="D28" s="40" t="s">
        <v>66</v>
      </c>
      <c r="E28" s="18" t="s">
        <v>7</v>
      </c>
      <c r="F28" s="19" t="s">
        <v>4</v>
      </c>
      <c r="G28" s="19" t="s">
        <v>39</v>
      </c>
    </row>
    <row r="29" spans="1:7" ht="15.75" customHeight="1">
      <c r="A29" s="16"/>
      <c r="B29" s="17"/>
      <c r="C29" s="120">
        <v>2012</v>
      </c>
      <c r="D29" s="27">
        <v>58.4</v>
      </c>
      <c r="E29" s="23">
        <v>75</v>
      </c>
      <c r="F29" s="24">
        <v>2</v>
      </c>
      <c r="G29" s="24">
        <v>0.93</v>
      </c>
    </row>
    <row r="30" spans="1:7" ht="15.75" customHeight="1">
      <c r="A30" s="16"/>
      <c r="B30" s="17"/>
      <c r="C30" s="121"/>
      <c r="D30" s="40" t="s">
        <v>66</v>
      </c>
      <c r="E30" s="18" t="s">
        <v>7</v>
      </c>
      <c r="F30" s="19" t="s">
        <v>2</v>
      </c>
      <c r="G30" s="19" t="s">
        <v>39</v>
      </c>
    </row>
    <row r="31" spans="1:7" ht="15.75" customHeight="1">
      <c r="A31" s="16"/>
      <c r="B31" s="26"/>
      <c r="C31" s="120">
        <v>2013</v>
      </c>
      <c r="D31" s="27">
        <v>57.34</v>
      </c>
      <c r="E31" s="23">
        <v>55</v>
      </c>
      <c r="F31" s="24">
        <v>2.86</v>
      </c>
      <c r="G31" s="27">
        <v>0.98</v>
      </c>
    </row>
    <row r="32" spans="1:7" ht="15.75" customHeight="1">
      <c r="A32" s="16"/>
      <c r="B32" s="26"/>
      <c r="C32" s="122"/>
      <c r="D32" s="40" t="s">
        <v>66</v>
      </c>
      <c r="E32" s="18" t="s">
        <v>7</v>
      </c>
      <c r="F32" s="19" t="s">
        <v>2</v>
      </c>
      <c r="G32" s="20" t="s">
        <v>39</v>
      </c>
    </row>
    <row r="33" spans="1:7" ht="15.75" customHeight="1">
      <c r="A33" s="16"/>
      <c r="B33" s="26"/>
      <c r="C33" s="120">
        <v>2014</v>
      </c>
      <c r="D33" s="27">
        <v>42.9</v>
      </c>
      <c r="E33" s="23">
        <v>45</v>
      </c>
      <c r="F33" s="24">
        <v>2.1</v>
      </c>
      <c r="G33" s="54">
        <v>0.7</v>
      </c>
    </row>
    <row r="34" spans="1:7" ht="15.75" customHeight="1">
      <c r="A34" s="16"/>
      <c r="B34" s="26"/>
      <c r="C34" s="121"/>
      <c r="D34" s="40" t="s">
        <v>47</v>
      </c>
      <c r="E34" s="18" t="s">
        <v>4</v>
      </c>
      <c r="F34" s="19" t="s">
        <v>2</v>
      </c>
      <c r="G34" s="20" t="s">
        <v>70</v>
      </c>
    </row>
    <row r="35" spans="1:7" ht="15.75" customHeight="1">
      <c r="A35" s="16"/>
      <c r="B35" s="26"/>
      <c r="C35" s="120">
        <v>2015</v>
      </c>
      <c r="D35" s="27">
        <v>50.26</v>
      </c>
      <c r="E35" s="23">
        <v>45</v>
      </c>
      <c r="F35" s="24">
        <v>1.84</v>
      </c>
      <c r="G35" s="27">
        <v>0.98</v>
      </c>
    </row>
    <row r="36" spans="1:7" ht="15.75" customHeight="1">
      <c r="A36" s="16"/>
      <c r="B36" s="26"/>
      <c r="C36" s="121"/>
      <c r="D36" s="40" t="s">
        <v>47</v>
      </c>
      <c r="E36" s="18" t="s">
        <v>4</v>
      </c>
      <c r="F36" s="19" t="s">
        <v>2</v>
      </c>
      <c r="G36" s="20" t="s">
        <v>39</v>
      </c>
    </row>
    <row r="37" spans="1:7" ht="15.75">
      <c r="A37" s="16"/>
      <c r="B37" s="26"/>
      <c r="C37" s="120">
        <v>2016</v>
      </c>
      <c r="D37" s="27">
        <v>57.38</v>
      </c>
      <c r="E37" s="27">
        <v>45</v>
      </c>
      <c r="F37" s="24">
        <v>2.87</v>
      </c>
      <c r="G37" s="27">
        <v>1.08</v>
      </c>
    </row>
    <row r="38" spans="1:7" ht="15.75">
      <c r="A38" s="16"/>
      <c r="B38" s="26"/>
      <c r="C38" s="121"/>
      <c r="D38" s="40" t="s">
        <v>66</v>
      </c>
      <c r="E38" s="20" t="s">
        <v>4</v>
      </c>
      <c r="F38" s="19" t="s">
        <v>2</v>
      </c>
      <c r="G38" s="20" t="s">
        <v>39</v>
      </c>
    </row>
    <row r="39" spans="1:7" ht="15.75">
      <c r="A39" s="16"/>
      <c r="B39" s="26"/>
      <c r="C39" s="120">
        <v>2017</v>
      </c>
      <c r="D39" s="27">
        <v>47.69</v>
      </c>
      <c r="E39" s="27">
        <v>45</v>
      </c>
      <c r="F39" s="24">
        <v>2.5</v>
      </c>
      <c r="G39" s="27">
        <v>0.81</v>
      </c>
    </row>
    <row r="40" spans="1:7" ht="15.75">
      <c r="A40" s="16"/>
      <c r="B40" s="26"/>
      <c r="C40" s="121"/>
      <c r="D40" s="40" t="s">
        <v>47</v>
      </c>
      <c r="E40" s="20" t="s">
        <v>4</v>
      </c>
      <c r="F40" s="19" t="s">
        <v>2</v>
      </c>
      <c r="G40" s="20" t="s">
        <v>66</v>
      </c>
    </row>
    <row r="41" spans="1:7" ht="12.75" customHeight="1">
      <c r="A41" s="16"/>
      <c r="B41" s="39"/>
      <c r="C41" s="120">
        <v>2018</v>
      </c>
      <c r="D41" s="27">
        <v>53.78</v>
      </c>
      <c r="E41" s="27">
        <v>40</v>
      </c>
      <c r="F41" s="24">
        <v>3.47</v>
      </c>
      <c r="G41" s="27">
        <v>0.93</v>
      </c>
    </row>
    <row r="42" spans="1:7" ht="15.75">
      <c r="A42" s="16"/>
      <c r="B42" s="26"/>
      <c r="C42" s="121"/>
      <c r="D42" s="40" t="s">
        <v>47</v>
      </c>
      <c r="E42" s="20" t="s">
        <v>4</v>
      </c>
      <c r="F42" s="19" t="s">
        <v>4</v>
      </c>
      <c r="G42" s="20" t="s">
        <v>39</v>
      </c>
    </row>
    <row r="43" spans="1:7" ht="15.75">
      <c r="A43" s="16"/>
      <c r="B43" s="26"/>
      <c r="C43" s="122">
        <v>2019</v>
      </c>
      <c r="D43" s="27">
        <v>57.38</v>
      </c>
      <c r="E43" s="27">
        <v>40</v>
      </c>
      <c r="F43" s="24">
        <v>3.62</v>
      </c>
      <c r="G43" s="27">
        <v>1.03</v>
      </c>
    </row>
    <row r="44" spans="1:7" ht="15.75">
      <c r="A44" s="16"/>
      <c r="B44" s="26"/>
      <c r="C44" s="122"/>
      <c r="D44" s="40" t="s">
        <v>66</v>
      </c>
      <c r="E44" s="47" t="s">
        <v>4</v>
      </c>
      <c r="F44" s="42" t="s">
        <v>4</v>
      </c>
      <c r="G44" s="47" t="s">
        <v>39</v>
      </c>
    </row>
    <row r="45" spans="1:7" ht="12.75" customHeight="1">
      <c r="A45" s="16"/>
      <c r="B45" s="17"/>
      <c r="C45" s="120">
        <v>2020</v>
      </c>
      <c r="D45" s="27">
        <v>53.44</v>
      </c>
      <c r="E45" s="27">
        <v>40</v>
      </c>
      <c r="F45" s="24">
        <v>3.46</v>
      </c>
      <c r="G45" s="27">
        <v>0.92</v>
      </c>
    </row>
    <row r="46" spans="1:7" ht="15.75">
      <c r="A46" s="16"/>
      <c r="B46" s="17"/>
      <c r="C46" s="121"/>
      <c r="D46" s="40" t="s">
        <v>47</v>
      </c>
      <c r="E46" s="47" t="s">
        <v>4</v>
      </c>
      <c r="F46" s="42" t="s">
        <v>4</v>
      </c>
      <c r="G46" s="47" t="s">
        <v>39</v>
      </c>
    </row>
    <row r="47" spans="1:7" ht="15.75">
      <c r="A47" s="16"/>
      <c r="B47" s="39"/>
      <c r="C47" s="120">
        <v>2021</v>
      </c>
      <c r="D47" s="27">
        <v>52.64</v>
      </c>
      <c r="E47" s="27">
        <v>40</v>
      </c>
      <c r="F47" s="24">
        <v>3.11</v>
      </c>
      <c r="G47" s="27">
        <v>0.94</v>
      </c>
    </row>
    <row r="48" spans="1:7" ht="15.75">
      <c r="A48" s="16"/>
      <c r="B48" s="123"/>
      <c r="C48" s="121"/>
      <c r="D48" s="40" t="s">
        <v>47</v>
      </c>
      <c r="E48" s="47" t="s">
        <v>4</v>
      </c>
      <c r="F48" s="42" t="s">
        <v>4</v>
      </c>
      <c r="G48" s="47" t="s">
        <v>39</v>
      </c>
    </row>
    <row r="49" spans="1:7" ht="12.75">
      <c r="A49" s="124" t="s">
        <v>64</v>
      </c>
      <c r="B49" s="101"/>
      <c r="C49" s="101"/>
      <c r="D49" s="101"/>
      <c r="E49" s="101"/>
      <c r="F49" s="101"/>
      <c r="G49" s="102"/>
    </row>
    <row r="50" spans="1:7" ht="15.75">
      <c r="A50" s="14">
        <v>68</v>
      </c>
      <c r="B50" s="15" t="s">
        <v>78</v>
      </c>
      <c r="C50" s="120">
        <v>2011</v>
      </c>
      <c r="D50" s="27">
        <v>70.08</v>
      </c>
      <c r="E50" s="23">
        <v>70</v>
      </c>
      <c r="F50" s="27">
        <v>4.32</v>
      </c>
      <c r="G50" s="27">
        <v>1.06</v>
      </c>
    </row>
    <row r="51" spans="1:7" ht="15.75">
      <c r="A51" s="16"/>
      <c r="B51" s="17"/>
      <c r="C51" s="121"/>
      <c r="D51" s="40" t="s">
        <v>40</v>
      </c>
      <c r="E51" s="18" t="s">
        <v>7</v>
      </c>
      <c r="F51" s="19" t="s">
        <v>7</v>
      </c>
      <c r="G51" s="19" t="s">
        <v>39</v>
      </c>
    </row>
    <row r="52" spans="1:7" ht="15.75">
      <c r="A52" s="16"/>
      <c r="B52" s="17"/>
      <c r="C52" s="120">
        <v>2012</v>
      </c>
      <c r="D52" s="27">
        <v>60</v>
      </c>
      <c r="E52" s="23">
        <v>55</v>
      </c>
      <c r="F52" s="125">
        <v>4.5</v>
      </c>
      <c r="G52" s="24">
        <v>0.85</v>
      </c>
    </row>
    <row r="53" spans="1:7" ht="15.75">
      <c r="A53" s="16"/>
      <c r="B53" s="17"/>
      <c r="C53" s="121"/>
      <c r="D53" s="40" t="s">
        <v>66</v>
      </c>
      <c r="E53" s="18" t="s">
        <v>7</v>
      </c>
      <c r="F53" s="19" t="s">
        <v>7</v>
      </c>
      <c r="G53" s="19" t="s">
        <v>40</v>
      </c>
    </row>
    <row r="54" spans="1:7" ht="15.75">
      <c r="A54" s="16"/>
      <c r="B54" s="26"/>
      <c r="C54" s="120">
        <v>2013</v>
      </c>
      <c r="D54" s="27">
        <v>61.4</v>
      </c>
      <c r="E54" s="23">
        <v>50</v>
      </c>
      <c r="F54" s="24">
        <v>4.1</v>
      </c>
      <c r="G54" s="54">
        <v>0.8</v>
      </c>
    </row>
    <row r="55" spans="1:7" ht="15.75" customHeight="1">
      <c r="A55" s="16"/>
      <c r="B55" s="17"/>
      <c r="C55" s="121"/>
      <c r="D55" s="40" t="s">
        <v>66</v>
      </c>
      <c r="E55" s="18" t="s">
        <v>4</v>
      </c>
      <c r="F55" s="19" t="s">
        <v>7</v>
      </c>
      <c r="G55" s="20" t="s">
        <v>47</v>
      </c>
    </row>
    <row r="56" spans="1:7" ht="15.75" customHeight="1">
      <c r="A56" s="16"/>
      <c r="B56" s="26"/>
      <c r="C56" s="120">
        <v>2014</v>
      </c>
      <c r="D56" s="27">
        <v>50.92</v>
      </c>
      <c r="E56" s="23">
        <v>55</v>
      </c>
      <c r="F56" s="24">
        <v>2.98</v>
      </c>
      <c r="G56" s="27">
        <v>0.75</v>
      </c>
    </row>
    <row r="57" spans="1:7" ht="15.75" customHeight="1">
      <c r="A57" s="16"/>
      <c r="B57" s="26"/>
      <c r="C57" s="121"/>
      <c r="D57" s="40" t="s">
        <v>47</v>
      </c>
      <c r="E57" s="18" t="s">
        <v>7</v>
      </c>
      <c r="F57" s="19" t="s">
        <v>2</v>
      </c>
      <c r="G57" s="20" t="s">
        <v>47</v>
      </c>
    </row>
    <row r="58" spans="1:7" ht="15.75" customHeight="1">
      <c r="A58" s="16"/>
      <c r="B58" s="26"/>
      <c r="C58" s="120">
        <v>2015</v>
      </c>
      <c r="D58" s="27">
        <v>55.94</v>
      </c>
      <c r="E58" s="34">
        <v>50</v>
      </c>
      <c r="F58" s="24">
        <v>3.56</v>
      </c>
      <c r="G58" s="27">
        <v>0.89</v>
      </c>
    </row>
    <row r="59" spans="1:7" ht="15.75" customHeight="1">
      <c r="A59" s="16"/>
      <c r="B59" s="26"/>
      <c r="C59" s="121"/>
      <c r="D59" s="40" t="s">
        <v>66</v>
      </c>
      <c r="E59" s="18" t="s">
        <v>4</v>
      </c>
      <c r="F59" s="19" t="s">
        <v>68</v>
      </c>
      <c r="G59" s="20" t="s">
        <v>40</v>
      </c>
    </row>
    <row r="60" spans="1:7" ht="15.75" customHeight="1">
      <c r="A60" s="16"/>
      <c r="B60" s="26"/>
      <c r="C60" s="120">
        <v>2016</v>
      </c>
      <c r="D60" s="27">
        <v>39.52</v>
      </c>
      <c r="E60" s="27">
        <v>50</v>
      </c>
      <c r="F60" s="24">
        <v>3.88</v>
      </c>
      <c r="G60" s="54">
        <v>0.3</v>
      </c>
    </row>
    <row r="61" spans="1:7" ht="15.75" customHeight="1">
      <c r="A61" s="16"/>
      <c r="B61" s="26"/>
      <c r="C61" s="121"/>
      <c r="D61" s="40" t="s">
        <v>47</v>
      </c>
      <c r="E61" s="20" t="s">
        <v>4</v>
      </c>
      <c r="F61" s="19" t="s">
        <v>4</v>
      </c>
      <c r="G61" s="20" t="s">
        <v>46</v>
      </c>
    </row>
    <row r="62" spans="1:7" ht="15.75" customHeight="1">
      <c r="A62" s="16"/>
      <c r="B62" s="26"/>
      <c r="C62" s="120">
        <v>2017</v>
      </c>
      <c r="D62" s="27">
        <v>4.3</v>
      </c>
      <c r="E62" s="27">
        <v>50</v>
      </c>
      <c r="F62" s="24">
        <v>3.4</v>
      </c>
      <c r="G62" s="27">
        <v>-0.81</v>
      </c>
    </row>
    <row r="63" spans="1:7" ht="15.75" customHeight="1">
      <c r="A63" s="16"/>
      <c r="B63" s="26"/>
      <c r="C63" s="121"/>
      <c r="D63" s="40" t="s">
        <v>46</v>
      </c>
      <c r="E63" s="20" t="s">
        <v>4</v>
      </c>
      <c r="F63" s="19" t="s">
        <v>4</v>
      </c>
      <c r="G63" s="20" t="s">
        <v>46</v>
      </c>
    </row>
    <row r="64" spans="1:7" ht="15.75" customHeight="1">
      <c r="A64" s="16"/>
      <c r="B64" s="39"/>
      <c r="C64" s="120">
        <v>2018</v>
      </c>
      <c r="D64" s="27">
        <v>56.58</v>
      </c>
      <c r="E64" s="27">
        <v>50</v>
      </c>
      <c r="F64" s="24">
        <v>3.57</v>
      </c>
      <c r="G64" s="27">
        <v>0.91</v>
      </c>
    </row>
    <row r="65" spans="1:7" ht="15.75" customHeight="1">
      <c r="A65" s="16"/>
      <c r="B65" s="17"/>
      <c r="C65" s="121"/>
      <c r="D65" s="40" t="s">
        <v>66</v>
      </c>
      <c r="E65" s="20" t="s">
        <v>4</v>
      </c>
      <c r="F65" s="19" t="s">
        <v>4</v>
      </c>
      <c r="G65" s="20" t="s">
        <v>39</v>
      </c>
    </row>
    <row r="66" spans="1:7" ht="15.75" customHeight="1">
      <c r="A66" s="16"/>
      <c r="B66" s="26"/>
      <c r="C66" s="122">
        <v>2019</v>
      </c>
      <c r="D66" s="27">
        <v>56.86</v>
      </c>
      <c r="E66" s="27">
        <v>50</v>
      </c>
      <c r="F66" s="24">
        <v>3.49</v>
      </c>
      <c r="G66" s="27">
        <v>0.93</v>
      </c>
    </row>
    <row r="67" spans="1:7" ht="15.75" customHeight="1">
      <c r="A67" s="16"/>
      <c r="B67" s="26"/>
      <c r="C67" s="122"/>
      <c r="D67" s="40" t="s">
        <v>66</v>
      </c>
      <c r="E67" s="47" t="s">
        <v>4</v>
      </c>
      <c r="F67" s="42" t="s">
        <v>4</v>
      </c>
      <c r="G67" s="47" t="s">
        <v>39</v>
      </c>
    </row>
    <row r="68" spans="1:7" ht="15.75" customHeight="1">
      <c r="A68" s="16"/>
      <c r="B68" s="17"/>
      <c r="C68" s="120">
        <v>2020</v>
      </c>
      <c r="D68" s="27">
        <v>48.16</v>
      </c>
      <c r="E68" s="27">
        <v>50</v>
      </c>
      <c r="F68" s="24">
        <v>3.34</v>
      </c>
      <c r="G68" s="27">
        <v>0.66</v>
      </c>
    </row>
    <row r="69" spans="1:7" ht="15.75" customHeight="1">
      <c r="A69" s="16"/>
      <c r="B69" s="39"/>
      <c r="C69" s="121"/>
      <c r="D69" s="40" t="s">
        <v>47</v>
      </c>
      <c r="E69" s="47" t="s">
        <v>4</v>
      </c>
      <c r="F69" s="42" t="s">
        <v>4</v>
      </c>
      <c r="G69" s="47" t="s">
        <v>46</v>
      </c>
    </row>
    <row r="70" spans="1:7" ht="15.75" customHeight="1">
      <c r="A70" s="16"/>
      <c r="B70" s="39"/>
      <c r="C70" s="27">
        <v>2021</v>
      </c>
      <c r="D70" s="27">
        <v>56.72</v>
      </c>
      <c r="E70" s="27">
        <v>55</v>
      </c>
      <c r="F70" s="24">
        <v>3.08</v>
      </c>
      <c r="G70" s="27">
        <v>0.93</v>
      </c>
    </row>
    <row r="71" spans="1:7" ht="15.75">
      <c r="A71" s="21"/>
      <c r="B71" s="123"/>
      <c r="C71" s="27"/>
      <c r="D71" s="40" t="s">
        <v>66</v>
      </c>
      <c r="E71" s="47" t="s">
        <v>7</v>
      </c>
      <c r="F71" s="42" t="s">
        <v>4</v>
      </c>
      <c r="G71" s="47" t="s">
        <v>39</v>
      </c>
    </row>
    <row r="72" spans="1:7" ht="15.75" customHeight="1">
      <c r="A72" s="95" t="s">
        <v>62</v>
      </c>
      <c r="B72" s="101"/>
      <c r="C72" s="101"/>
      <c r="D72" s="101"/>
      <c r="E72" s="101"/>
      <c r="F72" s="101"/>
      <c r="G72" s="102"/>
    </row>
    <row r="73" spans="1:7" ht="15.75" customHeight="1">
      <c r="A73" s="14">
        <v>67</v>
      </c>
      <c r="B73" s="15" t="s">
        <v>63</v>
      </c>
      <c r="C73" s="120">
        <v>2011</v>
      </c>
      <c r="D73" s="27">
        <v>60.42</v>
      </c>
      <c r="E73" s="23">
        <v>70</v>
      </c>
      <c r="F73" s="27">
        <v>4.08</v>
      </c>
      <c r="G73" s="27">
        <v>0.77</v>
      </c>
    </row>
    <row r="74" spans="1:7" ht="15.75" customHeight="1">
      <c r="A74" s="16"/>
      <c r="B74" s="17"/>
      <c r="C74" s="121"/>
      <c r="D74" s="40" t="s">
        <v>66</v>
      </c>
      <c r="E74" s="18" t="s">
        <v>7</v>
      </c>
      <c r="F74" s="19" t="s">
        <v>7</v>
      </c>
      <c r="G74" s="19" t="s">
        <v>47</v>
      </c>
    </row>
    <row r="75" spans="1:7" ht="15.75" customHeight="1">
      <c r="A75" s="16"/>
      <c r="B75" s="17"/>
      <c r="C75" s="120">
        <v>2012</v>
      </c>
      <c r="D75" s="27">
        <v>46</v>
      </c>
      <c r="E75" s="23">
        <v>30</v>
      </c>
      <c r="F75" s="24">
        <v>3.4</v>
      </c>
      <c r="G75" s="24">
        <v>0.78</v>
      </c>
    </row>
    <row r="76" spans="1:7" ht="15.75" customHeight="1">
      <c r="A76" s="16"/>
      <c r="B76" s="17"/>
      <c r="C76" s="121"/>
      <c r="D76" s="40" t="s">
        <v>47</v>
      </c>
      <c r="E76" s="18" t="s">
        <v>4</v>
      </c>
      <c r="F76" s="19" t="s">
        <v>4</v>
      </c>
      <c r="G76" s="19" t="s">
        <v>47</v>
      </c>
    </row>
    <row r="77" spans="1:7" ht="15.75" customHeight="1">
      <c r="A77" s="16"/>
      <c r="B77" s="26"/>
      <c r="C77" s="120">
        <v>2013</v>
      </c>
      <c r="D77" s="27">
        <v>31.96</v>
      </c>
      <c r="E77" s="23">
        <v>35</v>
      </c>
      <c r="F77" s="24">
        <v>2.29</v>
      </c>
      <c r="G77" s="27">
        <v>0.41</v>
      </c>
    </row>
    <row r="78" spans="1:7" ht="15.75" customHeight="1">
      <c r="A78" s="16"/>
      <c r="B78" s="26"/>
      <c r="C78" s="122"/>
      <c r="D78" s="40" t="s">
        <v>70</v>
      </c>
      <c r="E78" s="18" t="s">
        <v>4</v>
      </c>
      <c r="F78" s="19" t="s">
        <v>2</v>
      </c>
      <c r="G78" s="20" t="s">
        <v>46</v>
      </c>
    </row>
    <row r="79" spans="1:7" ht="15.75" customHeight="1">
      <c r="A79" s="16"/>
      <c r="B79" s="26"/>
      <c r="C79" s="120">
        <v>2014</v>
      </c>
      <c r="D79" s="27">
        <v>16.8</v>
      </c>
      <c r="E79" s="23">
        <v>35</v>
      </c>
      <c r="F79" s="24">
        <v>1.5</v>
      </c>
      <c r="G79" s="27">
        <v>0.01</v>
      </c>
    </row>
    <row r="80" spans="1:7" ht="15.75" customHeight="1">
      <c r="A80" s="16"/>
      <c r="B80" s="26"/>
      <c r="C80" s="121"/>
      <c r="D80" s="40" t="s">
        <v>70</v>
      </c>
      <c r="E80" s="18" t="s">
        <v>4</v>
      </c>
      <c r="F80" s="19" t="s">
        <v>2</v>
      </c>
      <c r="G80" s="20" t="s">
        <v>46</v>
      </c>
    </row>
    <row r="81" spans="1:7" ht="15.75" customHeight="1">
      <c r="A81" s="16"/>
      <c r="B81" s="26"/>
      <c r="C81" s="120">
        <v>2015</v>
      </c>
      <c r="D81" s="27">
        <v>40.64</v>
      </c>
      <c r="E81" s="23">
        <v>40</v>
      </c>
      <c r="F81" s="24">
        <v>2.21</v>
      </c>
      <c r="G81" s="27">
        <v>0.66</v>
      </c>
    </row>
    <row r="82" spans="1:7" ht="15.75" customHeight="1">
      <c r="A82" s="16"/>
      <c r="B82" s="26"/>
      <c r="C82" s="121"/>
      <c r="D82" s="40" t="s">
        <v>47</v>
      </c>
      <c r="E82" s="18" t="s">
        <v>4</v>
      </c>
      <c r="F82" s="19" t="s">
        <v>2</v>
      </c>
      <c r="G82" s="20" t="s">
        <v>46</v>
      </c>
    </row>
    <row r="83" spans="1:7" ht="15.75" customHeight="1">
      <c r="A83" s="16"/>
      <c r="B83" s="26"/>
      <c r="C83" s="120">
        <v>2016</v>
      </c>
      <c r="D83" s="27">
        <v>51.5</v>
      </c>
      <c r="E83" s="27">
        <v>50</v>
      </c>
      <c r="F83" s="24">
        <v>2.75</v>
      </c>
      <c r="G83" s="27">
        <v>0.85</v>
      </c>
    </row>
    <row r="84" spans="1:7" ht="15.75" customHeight="1">
      <c r="A84" s="16"/>
      <c r="B84" s="26"/>
      <c r="C84" s="121"/>
      <c r="D84" s="40" t="s">
        <v>47</v>
      </c>
      <c r="E84" s="20" t="s">
        <v>4</v>
      </c>
      <c r="F84" s="19" t="s">
        <v>2</v>
      </c>
      <c r="G84" s="20" t="s">
        <v>66</v>
      </c>
    </row>
    <row r="85" spans="1:7" ht="15.75" customHeight="1">
      <c r="A85" s="16"/>
      <c r="B85" s="26"/>
      <c r="C85" s="120">
        <v>2017</v>
      </c>
      <c r="D85" s="27">
        <v>45.06</v>
      </c>
      <c r="E85" s="27">
        <v>45</v>
      </c>
      <c r="F85" s="24">
        <v>3.24</v>
      </c>
      <c r="G85" s="27">
        <v>0.62</v>
      </c>
    </row>
    <row r="86" spans="1:7" ht="15.75" customHeight="1">
      <c r="A86" s="16"/>
      <c r="B86" s="26"/>
      <c r="C86" s="121"/>
      <c r="D86" s="40" t="s">
        <v>47</v>
      </c>
      <c r="E86" s="47" t="s">
        <v>4</v>
      </c>
      <c r="F86" s="42" t="s">
        <v>4</v>
      </c>
      <c r="G86" s="47" t="s">
        <v>46</v>
      </c>
    </row>
    <row r="87" spans="1:7" ht="15.75" customHeight="1">
      <c r="A87" s="16"/>
      <c r="B87" s="39"/>
      <c r="C87" s="120">
        <v>2018</v>
      </c>
      <c r="D87" s="27">
        <v>50.9</v>
      </c>
      <c r="E87" s="27">
        <v>45</v>
      </c>
      <c r="F87" s="24">
        <v>3.35</v>
      </c>
      <c r="G87" s="54">
        <v>0.8</v>
      </c>
    </row>
    <row r="88" spans="1:7" ht="15.75">
      <c r="A88" s="16"/>
      <c r="B88" s="17"/>
      <c r="C88" s="121"/>
      <c r="D88" s="40" t="s">
        <v>47</v>
      </c>
      <c r="E88" s="47" t="s">
        <v>4</v>
      </c>
      <c r="F88" s="42" t="s">
        <v>4</v>
      </c>
      <c r="G88" s="47" t="s">
        <v>47</v>
      </c>
    </row>
    <row r="89" spans="1:7" ht="15.75" customHeight="1">
      <c r="A89" s="16"/>
      <c r="B89" s="26"/>
      <c r="C89" s="122">
        <v>2019</v>
      </c>
      <c r="D89" s="27">
        <v>43.12</v>
      </c>
      <c r="E89" s="27">
        <v>45</v>
      </c>
      <c r="F89" s="24">
        <v>3.13</v>
      </c>
      <c r="G89" s="27">
        <v>0.57</v>
      </c>
    </row>
    <row r="90" spans="1:7" ht="15.75" customHeight="1">
      <c r="A90" s="16"/>
      <c r="B90" s="26"/>
      <c r="C90" s="122"/>
      <c r="D90" s="40" t="s">
        <v>47</v>
      </c>
      <c r="E90" s="47" t="s">
        <v>4</v>
      </c>
      <c r="F90" s="42" t="s">
        <v>4</v>
      </c>
      <c r="G90" s="47" t="s">
        <v>46</v>
      </c>
    </row>
    <row r="91" spans="1:7" ht="15.75" customHeight="1">
      <c r="A91" s="16"/>
      <c r="B91" s="26"/>
      <c r="C91" s="120">
        <v>2020</v>
      </c>
      <c r="D91" s="27">
        <v>36.76</v>
      </c>
      <c r="E91" s="27">
        <v>35</v>
      </c>
      <c r="F91" s="24">
        <v>3.19</v>
      </c>
      <c r="G91" s="27">
        <v>0.45</v>
      </c>
    </row>
    <row r="92" spans="1:7" ht="15.75" customHeight="1">
      <c r="A92" s="16"/>
      <c r="B92" s="39"/>
      <c r="C92" s="121"/>
      <c r="D92" s="40" t="s">
        <v>47</v>
      </c>
      <c r="E92" s="47" t="s">
        <v>4</v>
      </c>
      <c r="F92" s="42" t="s">
        <v>4</v>
      </c>
      <c r="G92" s="47" t="s">
        <v>46</v>
      </c>
    </row>
    <row r="93" spans="1:7" ht="15.75" customHeight="1">
      <c r="A93" s="16"/>
      <c r="B93" s="39"/>
      <c r="C93" s="120">
        <v>2021</v>
      </c>
      <c r="D93" s="27">
        <v>53.24</v>
      </c>
      <c r="E93" s="27">
        <v>40</v>
      </c>
      <c r="F93" s="24">
        <v>3.56</v>
      </c>
      <c r="G93" s="27">
        <v>0.9</v>
      </c>
    </row>
    <row r="94" spans="1:7" ht="15.75" customHeight="1">
      <c r="A94" s="21"/>
      <c r="B94" s="123"/>
      <c r="C94" s="121"/>
      <c r="D94" s="40" t="s">
        <v>47</v>
      </c>
      <c r="E94" s="47" t="s">
        <v>4</v>
      </c>
      <c r="F94" s="42" t="s">
        <v>4</v>
      </c>
      <c r="G94" s="47" t="s">
        <v>40</v>
      </c>
    </row>
    <row r="95" spans="1:7" ht="15.75" customHeight="1">
      <c r="A95" s="95" t="s">
        <v>60</v>
      </c>
      <c r="B95" s="101"/>
      <c r="C95" s="101"/>
      <c r="D95" s="101"/>
      <c r="E95" s="101"/>
      <c r="F95" s="101"/>
      <c r="G95" s="102"/>
    </row>
    <row r="96" spans="1:7" ht="15.75" customHeight="1">
      <c r="A96" s="14">
        <v>60</v>
      </c>
      <c r="B96" s="15" t="s">
        <v>61</v>
      </c>
      <c r="C96" s="120">
        <v>2011</v>
      </c>
      <c r="D96" s="27">
        <v>43.7</v>
      </c>
      <c r="E96" s="23">
        <v>30</v>
      </c>
      <c r="F96" s="27">
        <v>2</v>
      </c>
      <c r="G96" s="27">
        <v>0.89</v>
      </c>
    </row>
    <row r="97" spans="1:7" ht="15.75" customHeight="1">
      <c r="A97" s="22"/>
      <c r="B97" s="17"/>
      <c r="C97" s="121"/>
      <c r="D97" s="40" t="s">
        <v>47</v>
      </c>
      <c r="E97" s="18" t="s">
        <v>4</v>
      </c>
      <c r="F97" s="19" t="s">
        <v>2</v>
      </c>
      <c r="G97" s="19" t="s">
        <v>40</v>
      </c>
    </row>
    <row r="98" spans="1:7" ht="15.75" customHeight="1">
      <c r="A98" s="22"/>
      <c r="B98" s="17"/>
      <c r="C98" s="120">
        <v>2012</v>
      </c>
      <c r="D98" s="27">
        <v>59.22</v>
      </c>
      <c r="E98" s="23">
        <v>40</v>
      </c>
      <c r="F98" s="24">
        <v>3.03</v>
      </c>
      <c r="G98" s="24">
        <v>1.17</v>
      </c>
    </row>
    <row r="99" spans="1:7" ht="15.75" customHeight="1">
      <c r="A99" s="22"/>
      <c r="B99" s="17"/>
      <c r="C99" s="121"/>
      <c r="D99" s="40" t="s">
        <v>66</v>
      </c>
      <c r="E99" s="18" t="s">
        <v>4</v>
      </c>
      <c r="F99" s="19" t="s">
        <v>4</v>
      </c>
      <c r="G99" s="19" t="s">
        <v>39</v>
      </c>
    </row>
    <row r="100" spans="1:7" ht="15.75" customHeight="1">
      <c r="A100" s="16"/>
      <c r="B100" s="26"/>
      <c r="C100" s="120">
        <v>2013</v>
      </c>
      <c r="D100" s="27">
        <v>48.66</v>
      </c>
      <c r="E100" s="23">
        <v>50</v>
      </c>
      <c r="F100" s="24">
        <v>2.79</v>
      </c>
      <c r="G100" s="27">
        <v>0.75</v>
      </c>
    </row>
    <row r="101" spans="1:7" ht="15.75" customHeight="1">
      <c r="A101" s="16"/>
      <c r="B101" s="26"/>
      <c r="C101" s="122"/>
      <c r="D101" s="40" t="s">
        <v>47</v>
      </c>
      <c r="E101" s="18" t="s">
        <v>4</v>
      </c>
      <c r="F101" s="19" t="s">
        <v>2</v>
      </c>
      <c r="G101" s="20" t="s">
        <v>70</v>
      </c>
    </row>
    <row r="102" spans="1:7" ht="15.75" customHeight="1">
      <c r="A102" s="16"/>
      <c r="B102" s="26"/>
      <c r="C102" s="120">
        <v>2014</v>
      </c>
      <c r="D102" s="27">
        <v>51.88</v>
      </c>
      <c r="E102" s="23">
        <v>50</v>
      </c>
      <c r="F102" s="24">
        <v>2.77</v>
      </c>
      <c r="G102" s="27">
        <v>0.86</v>
      </c>
    </row>
    <row r="103" spans="1:7" ht="15.75" customHeight="1">
      <c r="A103" s="16"/>
      <c r="B103" s="26"/>
      <c r="C103" s="121"/>
      <c r="D103" s="40" t="s">
        <v>47</v>
      </c>
      <c r="E103" s="18" t="s">
        <v>4</v>
      </c>
      <c r="F103" s="19" t="s">
        <v>2</v>
      </c>
      <c r="G103" s="20" t="s">
        <v>40</v>
      </c>
    </row>
    <row r="104" spans="1:7" ht="15.75" customHeight="1">
      <c r="A104" s="16"/>
      <c r="B104" s="26"/>
      <c r="C104" s="120">
        <v>2015</v>
      </c>
      <c r="D104" s="27">
        <v>52.42</v>
      </c>
      <c r="E104" s="23">
        <v>55</v>
      </c>
      <c r="F104" s="24">
        <v>2.26</v>
      </c>
      <c r="G104" s="27">
        <v>0.89</v>
      </c>
    </row>
    <row r="105" spans="1:7" ht="15.75">
      <c r="A105" s="16"/>
      <c r="B105" s="26"/>
      <c r="C105" s="121"/>
      <c r="D105" s="40" t="s">
        <v>47</v>
      </c>
      <c r="E105" s="18" t="s">
        <v>7</v>
      </c>
      <c r="F105" s="19" t="s">
        <v>2</v>
      </c>
      <c r="G105" s="20" t="s">
        <v>40</v>
      </c>
    </row>
    <row r="106" spans="1:7" ht="15.75" customHeight="1">
      <c r="A106" s="16"/>
      <c r="B106" s="26"/>
      <c r="C106" s="120">
        <v>2016</v>
      </c>
      <c r="D106" s="27">
        <v>57.9</v>
      </c>
      <c r="E106" s="23">
        <v>65</v>
      </c>
      <c r="F106" s="24">
        <v>3.12</v>
      </c>
      <c r="G106" s="27">
        <v>0.86</v>
      </c>
    </row>
    <row r="107" spans="1:7" ht="15.75" customHeight="1">
      <c r="A107" s="16"/>
      <c r="B107" s="26"/>
      <c r="C107" s="121"/>
      <c r="D107" s="40" t="s">
        <v>66</v>
      </c>
      <c r="E107" s="18" t="s">
        <v>7</v>
      </c>
      <c r="F107" s="19" t="s">
        <v>4</v>
      </c>
      <c r="G107" s="20" t="s">
        <v>40</v>
      </c>
    </row>
    <row r="108" spans="1:7" ht="15.75" customHeight="1">
      <c r="A108" s="16"/>
      <c r="B108" s="26"/>
      <c r="C108" s="122">
        <v>2017</v>
      </c>
      <c r="D108" s="27">
        <v>52.47</v>
      </c>
      <c r="E108" s="23">
        <v>55</v>
      </c>
      <c r="F108" s="24">
        <v>3.84</v>
      </c>
      <c r="G108" s="27">
        <v>0.69</v>
      </c>
    </row>
    <row r="109" spans="1:7" ht="15.75" customHeight="1">
      <c r="A109" s="16"/>
      <c r="B109" s="26"/>
      <c r="C109" s="121"/>
      <c r="D109" s="40" t="s">
        <v>47</v>
      </c>
      <c r="E109" s="18" t="s">
        <v>7</v>
      </c>
      <c r="F109" s="19" t="s">
        <v>4</v>
      </c>
      <c r="G109" s="20" t="s">
        <v>70</v>
      </c>
    </row>
    <row r="110" spans="1:7" ht="15.75" customHeight="1">
      <c r="A110" s="16"/>
      <c r="B110" s="39"/>
      <c r="C110" s="122">
        <v>2018</v>
      </c>
      <c r="D110" s="27">
        <v>53.5</v>
      </c>
      <c r="E110" s="23">
        <v>50</v>
      </c>
      <c r="F110" s="24">
        <v>3.1</v>
      </c>
      <c r="G110" s="27">
        <v>0.87</v>
      </c>
    </row>
    <row r="111" spans="1:7" ht="15.75" customHeight="1">
      <c r="A111" s="16"/>
      <c r="B111" s="26"/>
      <c r="C111" s="121"/>
      <c r="D111" s="40" t="s">
        <v>47</v>
      </c>
      <c r="E111" s="18" t="s">
        <v>4</v>
      </c>
      <c r="F111" s="19" t="s">
        <v>4</v>
      </c>
      <c r="G111" s="20" t="s">
        <v>40</v>
      </c>
    </row>
    <row r="112" spans="1:7" ht="15.75" customHeight="1">
      <c r="A112" s="16"/>
      <c r="B112" s="26"/>
      <c r="C112" s="122">
        <v>2019</v>
      </c>
      <c r="D112" s="27">
        <v>56.56</v>
      </c>
      <c r="E112" s="27">
        <v>50</v>
      </c>
      <c r="F112" s="24">
        <v>3.19</v>
      </c>
      <c r="G112" s="27">
        <v>0.96</v>
      </c>
    </row>
    <row r="113" spans="1:7" ht="15.75" customHeight="1">
      <c r="A113" s="16"/>
      <c r="B113" s="26"/>
      <c r="C113" s="122"/>
      <c r="D113" s="40" t="s">
        <v>66</v>
      </c>
      <c r="E113" s="47" t="s">
        <v>4</v>
      </c>
      <c r="F113" s="42" t="s">
        <v>4</v>
      </c>
      <c r="G113" s="47" t="s">
        <v>39</v>
      </c>
    </row>
    <row r="114" spans="1:7" ht="15.75" customHeight="1">
      <c r="A114" s="16"/>
      <c r="B114" s="26"/>
      <c r="C114" s="120">
        <v>2020</v>
      </c>
      <c r="D114" s="27">
        <v>60</v>
      </c>
      <c r="E114" s="27">
        <v>55</v>
      </c>
      <c r="F114" s="24">
        <v>3.3</v>
      </c>
      <c r="G114" s="27">
        <v>1.01</v>
      </c>
    </row>
    <row r="115" spans="1:7" ht="15.75" customHeight="1">
      <c r="A115" s="16"/>
      <c r="B115" s="17"/>
      <c r="C115" s="121"/>
      <c r="D115" s="40" t="s">
        <v>66</v>
      </c>
      <c r="E115" s="47" t="s">
        <v>7</v>
      </c>
      <c r="F115" s="42" t="s">
        <v>4</v>
      </c>
      <c r="G115" s="47" t="s">
        <v>39</v>
      </c>
    </row>
    <row r="116" spans="1:7" ht="15.75" customHeight="1">
      <c r="A116" s="16"/>
      <c r="B116" s="39"/>
      <c r="C116" s="120">
        <v>2021</v>
      </c>
      <c r="D116" s="27">
        <v>51.64</v>
      </c>
      <c r="E116" s="27">
        <v>45</v>
      </c>
      <c r="F116" s="24">
        <v>2.86</v>
      </c>
      <c r="G116" s="27">
        <v>0.89</v>
      </c>
    </row>
    <row r="117" spans="1:7" ht="12.75" customHeight="1">
      <c r="A117" s="21"/>
      <c r="B117" s="123"/>
      <c r="C117" s="121"/>
      <c r="D117" s="40" t="s">
        <v>47</v>
      </c>
      <c r="E117" s="47" t="s">
        <v>4</v>
      </c>
      <c r="F117" s="42" t="s">
        <v>2</v>
      </c>
      <c r="G117" s="47" t="s">
        <v>40</v>
      </c>
    </row>
    <row r="118" spans="1:7" ht="15.75" customHeight="1">
      <c r="A118" s="103" t="s">
        <v>53</v>
      </c>
      <c r="B118" s="104"/>
      <c r="C118" s="104"/>
      <c r="D118" s="104"/>
      <c r="E118" s="104"/>
      <c r="F118" s="104"/>
      <c r="G118" s="104"/>
    </row>
    <row r="119" spans="1:7" ht="15.75" customHeight="1">
      <c r="A119" s="14">
        <v>22</v>
      </c>
      <c r="B119" s="15" t="s">
        <v>54</v>
      </c>
      <c r="C119" s="120">
        <v>2011</v>
      </c>
      <c r="D119" s="27">
        <v>47.52</v>
      </c>
      <c r="E119" s="23">
        <v>50</v>
      </c>
      <c r="F119" s="27">
        <v>3.33</v>
      </c>
      <c r="G119" s="24">
        <v>0.64</v>
      </c>
    </row>
    <row r="120" spans="1:7" ht="15.75" customHeight="1">
      <c r="A120" s="16"/>
      <c r="B120" s="17"/>
      <c r="C120" s="121"/>
      <c r="D120" s="40" t="s">
        <v>47</v>
      </c>
      <c r="E120" s="18" t="s">
        <v>4</v>
      </c>
      <c r="F120" s="19" t="s">
        <v>4</v>
      </c>
      <c r="G120" s="20" t="s">
        <v>46</v>
      </c>
    </row>
    <row r="121" spans="1:7" ht="15.75" customHeight="1">
      <c r="A121" s="16"/>
      <c r="B121" s="17"/>
      <c r="C121" s="120">
        <v>2012</v>
      </c>
      <c r="D121" s="27">
        <v>59.7</v>
      </c>
      <c r="E121" s="23">
        <v>50</v>
      </c>
      <c r="F121" s="24">
        <v>3.6</v>
      </c>
      <c r="G121" s="27">
        <v>1.01</v>
      </c>
    </row>
    <row r="122" spans="1:7" ht="15.75" customHeight="1">
      <c r="A122" s="16"/>
      <c r="B122" s="17"/>
      <c r="C122" s="122"/>
      <c r="D122" s="40" t="s">
        <v>66</v>
      </c>
      <c r="E122" s="18" t="s">
        <v>4</v>
      </c>
      <c r="F122" s="19" t="s">
        <v>4</v>
      </c>
      <c r="G122" s="20" t="s">
        <v>39</v>
      </c>
    </row>
    <row r="123" spans="1:7" ht="15.75" customHeight="1">
      <c r="A123" s="16"/>
      <c r="B123" s="17"/>
      <c r="C123" s="120">
        <v>2013</v>
      </c>
      <c r="D123" s="27">
        <v>50.5</v>
      </c>
      <c r="E123" s="23">
        <v>40</v>
      </c>
      <c r="F123" s="24">
        <v>2.8</v>
      </c>
      <c r="G123" s="27">
        <v>0.91</v>
      </c>
    </row>
    <row r="124" spans="1:7" ht="15.75" customHeight="1">
      <c r="A124" s="16"/>
      <c r="B124" s="17"/>
      <c r="C124" s="122"/>
      <c r="D124" s="40" t="s">
        <v>47</v>
      </c>
      <c r="E124" s="18" t="s">
        <v>4</v>
      </c>
      <c r="F124" s="19" t="s">
        <v>2</v>
      </c>
      <c r="G124" s="20" t="s">
        <v>39</v>
      </c>
    </row>
    <row r="125" spans="1:7" ht="15.75" customHeight="1">
      <c r="A125" s="16"/>
      <c r="B125" s="17"/>
      <c r="C125" s="120">
        <v>2014</v>
      </c>
      <c r="D125" s="27">
        <v>58</v>
      </c>
      <c r="E125" s="23">
        <v>55</v>
      </c>
      <c r="F125" s="24">
        <v>2.8</v>
      </c>
      <c r="G125" s="27">
        <v>1.01</v>
      </c>
    </row>
    <row r="126" spans="1:7" ht="15.75" customHeight="1">
      <c r="A126" s="16"/>
      <c r="B126" s="17"/>
      <c r="C126" s="121"/>
      <c r="D126" s="40" t="s">
        <v>66</v>
      </c>
      <c r="E126" s="35" t="s">
        <v>7</v>
      </c>
      <c r="F126" s="35" t="s">
        <v>2</v>
      </c>
      <c r="G126" s="35" t="s">
        <v>39</v>
      </c>
    </row>
    <row r="127" spans="1:7" ht="15.75" customHeight="1">
      <c r="A127" s="16"/>
      <c r="B127" s="39"/>
      <c r="C127" s="120">
        <v>2015</v>
      </c>
      <c r="D127" s="27">
        <v>49.54</v>
      </c>
      <c r="E127" s="23">
        <v>50</v>
      </c>
      <c r="F127" s="24">
        <v>1.66</v>
      </c>
      <c r="G127" s="27">
        <v>0.93</v>
      </c>
    </row>
    <row r="128" spans="1:7" ht="15.75">
      <c r="A128" s="16"/>
      <c r="B128" s="39"/>
      <c r="C128" s="121"/>
      <c r="D128" s="40" t="s">
        <v>47</v>
      </c>
      <c r="E128" s="18" t="s">
        <v>4</v>
      </c>
      <c r="F128" s="19" t="s">
        <v>2</v>
      </c>
      <c r="G128" s="20" t="s">
        <v>39</v>
      </c>
    </row>
    <row r="129" spans="1:7" ht="12.75" customHeight="1">
      <c r="A129" s="16"/>
      <c r="B129" s="39"/>
      <c r="C129" s="120">
        <v>2016</v>
      </c>
      <c r="D129" s="27">
        <v>46.38</v>
      </c>
      <c r="E129" s="27">
        <v>45</v>
      </c>
      <c r="F129" s="24">
        <v>2.82</v>
      </c>
      <c r="G129" s="27">
        <v>0.72</v>
      </c>
    </row>
    <row r="130" spans="1:7" ht="15.75" customHeight="1">
      <c r="A130" s="16"/>
      <c r="B130" s="17"/>
      <c r="C130" s="121"/>
      <c r="D130" s="40" t="s">
        <v>47</v>
      </c>
      <c r="E130" s="20" t="s">
        <v>4</v>
      </c>
      <c r="F130" s="19" t="s">
        <v>2</v>
      </c>
      <c r="G130" s="20" t="s">
        <v>70</v>
      </c>
    </row>
    <row r="131" spans="1:7" ht="12.75" customHeight="1">
      <c r="A131" s="16"/>
      <c r="B131" s="17"/>
      <c r="C131" s="120">
        <v>2017</v>
      </c>
      <c r="D131" s="27">
        <v>47.52</v>
      </c>
      <c r="E131" s="27">
        <v>50</v>
      </c>
      <c r="F131" s="24">
        <v>2.88</v>
      </c>
      <c r="G131" s="54">
        <v>0.7</v>
      </c>
    </row>
    <row r="132" spans="1:7" ht="15.75">
      <c r="A132" s="16"/>
      <c r="B132" s="17"/>
      <c r="C132" s="121"/>
      <c r="D132" s="40" t="s">
        <v>47</v>
      </c>
      <c r="E132" s="20" t="s">
        <v>4</v>
      </c>
      <c r="F132" s="19" t="s">
        <v>2</v>
      </c>
      <c r="G132" s="20" t="s">
        <v>70</v>
      </c>
    </row>
    <row r="133" spans="1:7" ht="15.75">
      <c r="A133" s="16"/>
      <c r="B133" s="39"/>
      <c r="C133" s="120">
        <v>2018</v>
      </c>
      <c r="D133" s="27">
        <v>46.92</v>
      </c>
      <c r="E133" s="27">
        <v>45</v>
      </c>
      <c r="F133" s="24">
        <v>3.48</v>
      </c>
      <c r="G133" s="27">
        <v>0.65</v>
      </c>
    </row>
    <row r="134" spans="1:7" ht="15.75">
      <c r="A134" s="16"/>
      <c r="B134" s="17"/>
      <c r="C134" s="121"/>
      <c r="D134" s="40" t="s">
        <v>47</v>
      </c>
      <c r="E134" s="20" t="s">
        <v>4</v>
      </c>
      <c r="F134" s="19" t="s">
        <v>4</v>
      </c>
      <c r="G134" s="20" t="s">
        <v>46</v>
      </c>
    </row>
    <row r="135" spans="1:7" ht="15.75">
      <c r="A135" s="16"/>
      <c r="B135" s="26"/>
      <c r="C135" s="122">
        <v>2019</v>
      </c>
      <c r="D135" s="27">
        <v>63.48</v>
      </c>
      <c r="E135" s="27">
        <v>55</v>
      </c>
      <c r="F135" s="24">
        <v>3.87</v>
      </c>
      <c r="G135" s="27">
        <v>1.05</v>
      </c>
    </row>
    <row r="136" spans="1:7" ht="15.75">
      <c r="A136" s="16"/>
      <c r="B136" s="26"/>
      <c r="C136" s="122"/>
      <c r="D136" s="40" t="s">
        <v>66</v>
      </c>
      <c r="E136" s="47" t="s">
        <v>7</v>
      </c>
      <c r="F136" s="42" t="s">
        <v>4</v>
      </c>
      <c r="G136" s="47" t="s">
        <v>39</v>
      </c>
    </row>
    <row r="137" spans="1:7" ht="15.75">
      <c r="A137" s="16"/>
      <c r="B137" s="26"/>
      <c r="C137" s="120">
        <v>2020</v>
      </c>
      <c r="D137" s="27">
        <v>49.48</v>
      </c>
      <c r="E137" s="27">
        <v>50</v>
      </c>
      <c r="F137" s="24">
        <v>3.22</v>
      </c>
      <c r="G137" s="27">
        <v>0.72</v>
      </c>
    </row>
    <row r="138" spans="1:7" ht="15.75">
      <c r="A138" s="16"/>
      <c r="B138" s="26"/>
      <c r="C138" s="121"/>
      <c r="D138" s="40" t="s">
        <v>47</v>
      </c>
      <c r="E138" s="47" t="s">
        <v>4</v>
      </c>
      <c r="F138" s="42" t="s">
        <v>4</v>
      </c>
      <c r="G138" s="47" t="s">
        <v>70</v>
      </c>
    </row>
    <row r="139" spans="1:7" ht="15.75">
      <c r="A139" s="16"/>
      <c r="B139" s="39"/>
      <c r="C139" s="120">
        <v>2021</v>
      </c>
      <c r="D139" s="27">
        <v>53.62</v>
      </c>
      <c r="E139" s="27">
        <v>45</v>
      </c>
      <c r="F139" s="24">
        <v>3.13</v>
      </c>
      <c r="G139" s="27">
        <v>0.92</v>
      </c>
    </row>
    <row r="140" spans="1:7" ht="15.75">
      <c r="A140" s="21"/>
      <c r="B140" s="123"/>
      <c r="C140" s="121"/>
      <c r="D140" s="40" t="s">
        <v>47</v>
      </c>
      <c r="E140" s="47" t="s">
        <v>4</v>
      </c>
      <c r="F140" s="42" t="s">
        <v>4</v>
      </c>
      <c r="G140" s="47" t="s">
        <v>39</v>
      </c>
    </row>
    <row r="141" spans="1:7" ht="12.75">
      <c r="A141" s="95" t="s">
        <v>77</v>
      </c>
      <c r="B141" s="101"/>
      <c r="C141" s="101"/>
      <c r="D141" s="101"/>
      <c r="E141" s="101"/>
      <c r="F141" s="101"/>
      <c r="G141" s="102"/>
    </row>
    <row r="142" spans="1:7" ht="15.75">
      <c r="A142" s="14">
        <v>73</v>
      </c>
      <c r="B142" s="57" t="s">
        <v>73</v>
      </c>
      <c r="C142" s="98" t="s">
        <v>76</v>
      </c>
      <c r="D142" s="99"/>
      <c r="E142" s="99"/>
      <c r="F142" s="99"/>
      <c r="G142" s="100"/>
    </row>
    <row r="143" spans="1:7" ht="15.75">
      <c r="A143" s="16"/>
      <c r="B143" s="26"/>
      <c r="C143" s="120">
        <v>2014</v>
      </c>
      <c r="D143" s="27">
        <v>45.98</v>
      </c>
      <c r="E143" s="27">
        <v>35</v>
      </c>
      <c r="F143" s="29">
        <v>2.72</v>
      </c>
      <c r="G143" s="29">
        <v>0.82</v>
      </c>
    </row>
    <row r="144" spans="1:7" ht="15.75">
      <c r="A144" s="16"/>
      <c r="B144" s="26"/>
      <c r="C144" s="121"/>
      <c r="D144" s="40" t="s">
        <v>47</v>
      </c>
      <c r="E144" s="37" t="s">
        <v>4</v>
      </c>
      <c r="F144" s="37" t="s">
        <v>2</v>
      </c>
      <c r="G144" s="37" t="s">
        <v>66</v>
      </c>
    </row>
    <row r="145" spans="1:7" ht="12.75" customHeight="1">
      <c r="A145" s="16"/>
      <c r="B145" s="26"/>
      <c r="C145" s="120">
        <v>2015</v>
      </c>
      <c r="D145" s="27">
        <v>48.7</v>
      </c>
      <c r="E145" s="23">
        <v>40</v>
      </c>
      <c r="F145" s="24">
        <v>3.25</v>
      </c>
      <c r="G145" s="27">
        <v>0.79</v>
      </c>
    </row>
    <row r="146" spans="1:7" ht="15.75">
      <c r="A146" s="16"/>
      <c r="B146" s="26"/>
      <c r="C146" s="121"/>
      <c r="D146" s="40" t="s">
        <v>47</v>
      </c>
      <c r="E146" s="18" t="s">
        <v>4</v>
      </c>
      <c r="F146" s="19" t="s">
        <v>4</v>
      </c>
      <c r="G146" s="20" t="s">
        <v>47</v>
      </c>
    </row>
    <row r="147" spans="1:7" ht="15.75">
      <c r="A147" s="16"/>
      <c r="B147" s="39"/>
      <c r="C147" s="120">
        <v>2016</v>
      </c>
      <c r="D147" s="27">
        <v>53.36</v>
      </c>
      <c r="E147" s="27">
        <v>40</v>
      </c>
      <c r="F147" s="24">
        <v>4.04</v>
      </c>
      <c r="G147" s="27">
        <v>0.84</v>
      </c>
    </row>
    <row r="148" spans="1:7" ht="15.75">
      <c r="A148" s="16"/>
      <c r="B148" s="17"/>
      <c r="C148" s="121"/>
      <c r="D148" s="40" t="s">
        <v>47</v>
      </c>
      <c r="E148" s="20" t="s">
        <v>4</v>
      </c>
      <c r="F148" s="19" t="s">
        <v>7</v>
      </c>
      <c r="G148" s="20" t="s">
        <v>66</v>
      </c>
    </row>
    <row r="149" spans="1:7" ht="15.75">
      <c r="A149" s="16"/>
      <c r="B149" s="17"/>
      <c r="C149" s="120">
        <v>2017</v>
      </c>
      <c r="D149" s="27">
        <v>45.2</v>
      </c>
      <c r="E149" s="27">
        <v>40</v>
      </c>
      <c r="F149" s="24">
        <v>3.5</v>
      </c>
      <c r="G149" s="27">
        <v>0.64</v>
      </c>
    </row>
    <row r="150" spans="1:7" ht="15.75">
      <c r="A150" s="16"/>
      <c r="B150" s="17"/>
      <c r="C150" s="121"/>
      <c r="D150" s="40" t="s">
        <v>47</v>
      </c>
      <c r="E150" s="20" t="s">
        <v>4</v>
      </c>
      <c r="F150" s="19" t="s">
        <v>4</v>
      </c>
      <c r="G150" s="20" t="s">
        <v>46</v>
      </c>
    </row>
    <row r="151" spans="1:7" ht="15.75">
      <c r="A151" s="16"/>
      <c r="B151" s="39"/>
      <c r="C151" s="120">
        <v>2018</v>
      </c>
      <c r="D151" s="27">
        <v>56.22</v>
      </c>
      <c r="E151" s="27">
        <v>45</v>
      </c>
      <c r="F151" s="24">
        <v>3.03</v>
      </c>
      <c r="G151" s="27">
        <v>1.02</v>
      </c>
    </row>
    <row r="152" spans="1:7" ht="15.75">
      <c r="A152" s="16"/>
      <c r="B152" s="17"/>
      <c r="C152" s="121"/>
      <c r="D152" s="40" t="s">
        <v>66</v>
      </c>
      <c r="E152" s="20" t="s">
        <v>4</v>
      </c>
      <c r="F152" s="19" t="s">
        <v>4</v>
      </c>
      <c r="G152" s="20" t="s">
        <v>39</v>
      </c>
    </row>
    <row r="153" spans="1:7" ht="15.75">
      <c r="A153" s="16"/>
      <c r="B153" s="26"/>
      <c r="C153" s="122">
        <v>2019</v>
      </c>
      <c r="D153" s="27">
        <v>53.46</v>
      </c>
      <c r="E153" s="27">
        <v>45</v>
      </c>
      <c r="F153" s="24">
        <v>3.84</v>
      </c>
      <c r="G153" s="27">
        <v>0.82</v>
      </c>
    </row>
    <row r="154" spans="1:7" ht="15.75">
      <c r="A154" s="16"/>
      <c r="B154" s="26"/>
      <c r="C154" s="122"/>
      <c r="D154" s="40" t="s">
        <v>47</v>
      </c>
      <c r="E154" s="47" t="s">
        <v>4</v>
      </c>
      <c r="F154" s="42" t="s">
        <v>4</v>
      </c>
      <c r="G154" s="47" t="s">
        <v>66</v>
      </c>
    </row>
    <row r="155" spans="1:7" ht="15.75">
      <c r="A155" s="16"/>
      <c r="B155" s="26"/>
      <c r="C155" s="120">
        <v>2020</v>
      </c>
      <c r="D155" s="27">
        <v>48.6</v>
      </c>
      <c r="E155" s="27">
        <v>50</v>
      </c>
      <c r="F155" s="24">
        <v>4.05</v>
      </c>
      <c r="G155" s="27">
        <v>0.58</v>
      </c>
    </row>
    <row r="156" spans="1:7" ht="15.75">
      <c r="A156" s="16"/>
      <c r="B156" s="17"/>
      <c r="C156" s="121"/>
      <c r="D156" s="40" t="s">
        <v>47</v>
      </c>
      <c r="E156" s="47" t="s">
        <v>4</v>
      </c>
      <c r="F156" s="42" t="s">
        <v>7</v>
      </c>
      <c r="G156" s="47" t="s">
        <v>46</v>
      </c>
    </row>
    <row r="157" spans="1:7" ht="15.75">
      <c r="A157" s="16"/>
      <c r="B157" s="39"/>
      <c r="C157" s="120">
        <v>2021</v>
      </c>
      <c r="D157" s="27">
        <v>54.68</v>
      </c>
      <c r="E157" s="27">
        <v>50</v>
      </c>
      <c r="F157" s="24">
        <v>4.67</v>
      </c>
      <c r="G157" s="54">
        <v>0.7</v>
      </c>
    </row>
    <row r="158" spans="1:7" ht="15.75">
      <c r="A158" s="21"/>
      <c r="B158" s="123"/>
      <c r="C158" s="121"/>
      <c r="D158" s="40" t="s">
        <v>47</v>
      </c>
      <c r="E158" s="47" t="s">
        <v>4</v>
      </c>
      <c r="F158" s="42" t="s">
        <v>7</v>
      </c>
      <c r="G158" s="47" t="s">
        <v>46</v>
      </c>
    </row>
    <row r="159" spans="1:7" ht="12.75">
      <c r="A159" s="126" t="s">
        <v>55</v>
      </c>
      <c r="B159" s="96"/>
      <c r="C159" s="96"/>
      <c r="D159" s="96"/>
      <c r="E159" s="96"/>
      <c r="F159" s="96"/>
      <c r="G159" s="97"/>
    </row>
    <row r="160" spans="1:7" ht="24">
      <c r="A160" s="36">
        <v>69</v>
      </c>
      <c r="B160" s="15" t="s">
        <v>56</v>
      </c>
      <c r="C160" s="120">
        <v>2011</v>
      </c>
      <c r="D160" s="27">
        <v>56.46</v>
      </c>
      <c r="E160" s="23">
        <v>45</v>
      </c>
      <c r="F160" s="27">
        <v>3.09</v>
      </c>
      <c r="G160" s="27">
        <v>1.02</v>
      </c>
    </row>
    <row r="161" spans="1:7" ht="15.75">
      <c r="A161" s="16"/>
      <c r="B161" s="17"/>
      <c r="C161" s="121"/>
      <c r="D161" s="40" t="s">
        <v>66</v>
      </c>
      <c r="E161" s="18" t="s">
        <v>4</v>
      </c>
      <c r="F161" s="19" t="s">
        <v>4</v>
      </c>
      <c r="G161" s="20" t="s">
        <v>39</v>
      </c>
    </row>
    <row r="162" spans="1:7" ht="15.75">
      <c r="A162" s="16"/>
      <c r="B162" s="17"/>
      <c r="C162" s="120">
        <v>2012</v>
      </c>
      <c r="D162" s="27">
        <v>52.4</v>
      </c>
      <c r="E162" s="23">
        <v>30</v>
      </c>
      <c r="F162" s="24">
        <v>3.5</v>
      </c>
      <c r="G162" s="27">
        <v>0.98</v>
      </c>
    </row>
    <row r="163" spans="1:7" ht="15.75">
      <c r="A163" s="16"/>
      <c r="B163" s="17"/>
      <c r="C163" s="122"/>
      <c r="D163" s="40" t="s">
        <v>47</v>
      </c>
      <c r="E163" s="18" t="s">
        <v>4</v>
      </c>
      <c r="F163" s="19" t="s">
        <v>4</v>
      </c>
      <c r="G163" s="20" t="s">
        <v>39</v>
      </c>
    </row>
    <row r="164" spans="1:7" ht="15.75">
      <c r="A164" s="16"/>
      <c r="B164" s="17"/>
      <c r="C164" s="120">
        <v>2013</v>
      </c>
      <c r="D164" s="27">
        <v>52.62</v>
      </c>
      <c r="E164" s="23">
        <v>30</v>
      </c>
      <c r="F164" s="24">
        <v>2.88</v>
      </c>
      <c r="G164" s="27">
        <v>0.84</v>
      </c>
    </row>
    <row r="165" spans="1:7" ht="15.75">
      <c r="A165" s="16"/>
      <c r="B165" s="17"/>
      <c r="C165" s="122"/>
      <c r="D165" s="40" t="s">
        <v>47</v>
      </c>
      <c r="E165" s="18" t="s">
        <v>4</v>
      </c>
      <c r="F165" s="19" t="s">
        <v>2</v>
      </c>
      <c r="G165" s="20" t="s">
        <v>66</v>
      </c>
    </row>
    <row r="166" spans="1:7" ht="15.75">
      <c r="A166" s="16"/>
      <c r="B166" s="17"/>
      <c r="C166" s="120">
        <v>2014</v>
      </c>
      <c r="D166" s="27">
        <v>51.5</v>
      </c>
      <c r="E166" s="23">
        <v>20</v>
      </c>
      <c r="F166" s="24">
        <v>3.5</v>
      </c>
      <c r="G166" s="27">
        <v>1.05</v>
      </c>
    </row>
    <row r="167" spans="1:7" ht="15.75">
      <c r="A167" s="16"/>
      <c r="B167" s="17"/>
      <c r="C167" s="121"/>
      <c r="D167" s="40" t="s">
        <v>47</v>
      </c>
      <c r="E167" s="18" t="s">
        <v>2</v>
      </c>
      <c r="F167" s="19" t="s">
        <v>4</v>
      </c>
      <c r="G167" s="20" t="s">
        <v>39</v>
      </c>
    </row>
    <row r="168" spans="1:7" ht="15.75">
      <c r="A168" s="16"/>
      <c r="B168" s="26"/>
      <c r="C168" s="120">
        <v>2015</v>
      </c>
      <c r="D168" s="27">
        <v>42.42</v>
      </c>
      <c r="E168" s="23">
        <v>10</v>
      </c>
      <c r="F168" s="24">
        <v>2.28</v>
      </c>
      <c r="G168" s="27">
        <v>1.01</v>
      </c>
    </row>
    <row r="169" spans="1:7" ht="15.75">
      <c r="A169" s="16"/>
      <c r="B169" s="26"/>
      <c r="C169" s="121"/>
      <c r="D169" s="40" t="s">
        <v>47</v>
      </c>
      <c r="E169" s="18" t="s">
        <v>2</v>
      </c>
      <c r="F169" s="19" t="s">
        <v>2</v>
      </c>
      <c r="G169" s="20" t="s">
        <v>39</v>
      </c>
    </row>
    <row r="170" spans="1:7" ht="15.75">
      <c r="A170" s="16"/>
      <c r="B170" s="39"/>
      <c r="C170" s="120">
        <v>2016</v>
      </c>
      <c r="D170" s="27">
        <v>49.64</v>
      </c>
      <c r="E170" s="27">
        <v>10</v>
      </c>
      <c r="F170" s="24">
        <v>3.41</v>
      </c>
      <c r="G170" s="54">
        <v>1.1</v>
      </c>
    </row>
    <row r="171" spans="1:7" ht="15.75">
      <c r="A171" s="16"/>
      <c r="B171" s="17"/>
      <c r="C171" s="121"/>
      <c r="D171" s="40" t="s">
        <v>47</v>
      </c>
      <c r="E171" s="20" t="s">
        <v>2</v>
      </c>
      <c r="F171" s="19" t="s">
        <v>4</v>
      </c>
      <c r="G171" s="20" t="s">
        <v>39</v>
      </c>
    </row>
    <row r="172" spans="1:7" ht="15.75">
      <c r="A172" s="16"/>
      <c r="B172" s="17"/>
      <c r="C172" s="120">
        <v>2017</v>
      </c>
      <c r="D172" s="27">
        <v>50.82</v>
      </c>
      <c r="E172" s="27">
        <v>35</v>
      </c>
      <c r="F172" s="24">
        <v>3.33</v>
      </c>
      <c r="G172" s="54">
        <v>0.9</v>
      </c>
    </row>
    <row r="173" spans="1:7" ht="15.75">
      <c r="A173" s="16"/>
      <c r="B173" s="17"/>
      <c r="C173" s="121"/>
      <c r="D173" s="40" t="s">
        <v>47</v>
      </c>
      <c r="E173" s="20" t="s">
        <v>4</v>
      </c>
      <c r="F173" s="19" t="s">
        <v>4</v>
      </c>
      <c r="G173" s="20" t="s">
        <v>40</v>
      </c>
    </row>
    <row r="174" spans="1:7" ht="15.75">
      <c r="A174" s="16"/>
      <c r="B174" s="39"/>
      <c r="C174" s="120">
        <v>2018</v>
      </c>
      <c r="D174" s="27">
        <v>53.58</v>
      </c>
      <c r="E174" s="27">
        <v>30</v>
      </c>
      <c r="F174" s="24">
        <v>3.72</v>
      </c>
      <c r="G174" s="27">
        <v>0.99</v>
      </c>
    </row>
    <row r="175" spans="1:7" ht="15.75">
      <c r="A175" s="16"/>
      <c r="B175" s="17"/>
      <c r="C175" s="121"/>
      <c r="D175" s="40" t="s">
        <v>47</v>
      </c>
      <c r="E175" s="20" t="s">
        <v>4</v>
      </c>
      <c r="F175" s="19" t="s">
        <v>4</v>
      </c>
      <c r="G175" s="20" t="s">
        <v>39</v>
      </c>
    </row>
    <row r="176" spans="1:7" ht="15.75">
      <c r="A176" s="16"/>
      <c r="B176" s="39"/>
      <c r="C176" s="122">
        <v>2019</v>
      </c>
      <c r="D176" s="27">
        <v>55.9</v>
      </c>
      <c r="E176" s="27">
        <v>25</v>
      </c>
      <c r="F176" s="24">
        <v>4</v>
      </c>
      <c r="G176" s="27">
        <v>1.08</v>
      </c>
    </row>
    <row r="177" spans="1:7" ht="15.75">
      <c r="A177" s="16"/>
      <c r="B177" s="26"/>
      <c r="C177" s="121"/>
      <c r="D177" s="40" t="s">
        <v>66</v>
      </c>
      <c r="E177" s="47" t="s">
        <v>2</v>
      </c>
      <c r="F177" s="42" t="s">
        <v>7</v>
      </c>
      <c r="G177" s="47" t="s">
        <v>39</v>
      </c>
    </row>
    <row r="178" spans="1:7" ht="15.75">
      <c r="A178" s="16"/>
      <c r="B178" s="26"/>
      <c r="C178" s="120">
        <v>2020</v>
      </c>
      <c r="D178" s="27">
        <v>54.14</v>
      </c>
      <c r="E178" s="27">
        <v>20</v>
      </c>
      <c r="F178" s="24">
        <v>3.56</v>
      </c>
      <c r="G178" s="27">
        <v>1.13</v>
      </c>
    </row>
    <row r="179" spans="1:7" ht="15.75">
      <c r="A179" s="16"/>
      <c r="B179" s="26"/>
      <c r="C179" s="121"/>
      <c r="D179" s="40" t="s">
        <v>47</v>
      </c>
      <c r="E179" s="47" t="s">
        <v>2</v>
      </c>
      <c r="F179" s="42" t="s">
        <v>4</v>
      </c>
      <c r="G179" s="47" t="s">
        <v>39</v>
      </c>
    </row>
    <row r="180" spans="1:7" ht="15.75">
      <c r="A180" s="16"/>
      <c r="B180" s="39"/>
      <c r="C180" s="120">
        <v>2021</v>
      </c>
      <c r="D180" s="27">
        <v>55.24</v>
      </c>
      <c r="E180" s="27">
        <v>25</v>
      </c>
      <c r="F180" s="24">
        <v>3.46</v>
      </c>
      <c r="G180" s="27" t="s">
        <v>92</v>
      </c>
    </row>
    <row r="181" spans="1:7" ht="15.75">
      <c r="A181" s="21"/>
      <c r="B181" s="123"/>
      <c r="C181" s="121"/>
      <c r="D181" s="40" t="s">
        <v>66</v>
      </c>
      <c r="E181" s="47" t="s">
        <v>2</v>
      </c>
      <c r="F181" s="42" t="s">
        <v>4</v>
      </c>
      <c r="G181" s="47" t="s">
        <v>39</v>
      </c>
    </row>
  </sheetData>
  <sheetProtection/>
  <mergeCells count="16">
    <mergeCell ref="A159:G159"/>
    <mergeCell ref="G1:G2"/>
    <mergeCell ref="A3:G3"/>
    <mergeCell ref="A26:G26"/>
    <mergeCell ref="A49:G49"/>
    <mergeCell ref="A72:G72"/>
    <mergeCell ref="A95:G95"/>
    <mergeCell ref="A118:G118"/>
    <mergeCell ref="A1:A2"/>
    <mergeCell ref="B1:B2"/>
    <mergeCell ref="E1:E2"/>
    <mergeCell ref="F1:F2"/>
    <mergeCell ref="D1:D2"/>
    <mergeCell ref="C1:C2"/>
    <mergeCell ref="A141:G141"/>
    <mergeCell ref="C142:G1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4" r:id="rId1"/>
  <rowBreaks count="2" manualBreakCount="2">
    <brk id="53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alane</cp:lastModifiedBy>
  <cp:lastPrinted>2019-11-03T23:49:02Z</cp:lastPrinted>
  <dcterms:created xsi:type="dcterms:W3CDTF">1996-10-14T23:33:28Z</dcterms:created>
  <dcterms:modified xsi:type="dcterms:W3CDTF">2021-11-08T03:57:37Z</dcterms:modified>
  <cp:category/>
  <cp:version/>
  <cp:contentType/>
  <cp:contentStatus/>
</cp:coreProperties>
</file>